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962" firstSheet="4" activeTab="3"/>
  </bookViews>
  <sheets>
    <sheet name="汇总表" sheetId="1" r:id="rId1"/>
    <sheet name="郁山镇排水工程--材料费 " sheetId="27" r:id="rId2"/>
    <sheet name="芦塘乡排水工程--材料费  " sheetId="28" r:id="rId3"/>
    <sheet name="联合乡排水工程--材料费 " sheetId="29" r:id="rId4"/>
    <sheet name="乔梓乡排水工程--材料费 " sheetId="30" r:id="rId5"/>
    <sheet name="三义乡排水工程--材料费" sheetId="31" r:id="rId6"/>
    <sheet name="岩东乡排水工程--材料费" sheetId="32" r:id="rId7"/>
    <sheet name="平安镇排水工程--材料费" sheetId="33" r:id="rId8"/>
    <sheet name="连湖镇排水工程--材料费" sheetId="34" r:id="rId9"/>
    <sheet name="桑柘镇排水工程--材料费" sheetId="35" r:id="rId10"/>
    <sheet name="新田镇排水工程--材料费" sheetId="36" r:id="rId11"/>
    <sheet name="诸佛乡排水工程--材料费" sheetId="37" r:id="rId12"/>
    <sheet name="石盘乡排水工程--材料费" sheetId="38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<sst xmlns="http://schemas.openxmlformats.org/spreadsheetml/2006/main" count="589" uniqueCount="71">
  <si>
    <t>彭水县乌江流域城南片区污水管网工程（二期）汇总表</t>
  </si>
  <si>
    <t>序号</t>
  </si>
  <si>
    <t>分组工程名称</t>
  </si>
  <si>
    <t>发包金额（含税）</t>
  </si>
  <si>
    <t>备注</t>
  </si>
  <si>
    <t>郁山镇排水工程--材料费</t>
  </si>
  <si>
    <t>芦塘乡排水工程--材料费</t>
  </si>
  <si>
    <t>联合乡排水工程--材料费</t>
  </si>
  <si>
    <t>乔梓乡排水工程--材料费</t>
  </si>
  <si>
    <t>三义乡排水工程--材料费</t>
  </si>
  <si>
    <t>岩东乡排水工程--材料费</t>
  </si>
  <si>
    <t>平安镇排水工程--材料费</t>
  </si>
  <si>
    <t>连湖镇排水工程--材料费</t>
  </si>
  <si>
    <t>桑柘镇排水工程--材料费</t>
  </si>
  <si>
    <t>新田镇排水工程--材料费</t>
  </si>
  <si>
    <t>诸佛乡排水工程--材料费</t>
  </si>
  <si>
    <t>石盘乡排水工程--材料费</t>
  </si>
  <si>
    <t>四</t>
  </si>
  <si>
    <t>合计</t>
  </si>
  <si>
    <t xml:space="preserve">郁山镇排水工程--材料费 </t>
  </si>
  <si>
    <t>项目名称</t>
  </si>
  <si>
    <t>单位</t>
  </si>
  <si>
    <t>工程量</t>
  </si>
  <si>
    <t>发包单价</t>
  </si>
  <si>
    <t>材料合价</t>
  </si>
  <si>
    <t>32.5级水泥</t>
  </si>
  <si>
    <t>t</t>
  </si>
  <si>
    <t>42.5级水泥</t>
  </si>
  <si>
    <t>机制砂</t>
  </si>
  <si>
    <t>碎石</t>
  </si>
  <si>
    <t>块（片）石</t>
  </si>
  <si>
    <t>m3</t>
  </si>
  <si>
    <t>钢筋</t>
  </si>
  <si>
    <t>DN300聚乙烯（HDPE）双壁波纹管 SN≥8000N/m2</t>
  </si>
  <si>
    <t>m</t>
  </si>
  <si>
    <t>DN500聚乙烯（HDPE）双壁波纹管 SN≥8000N/m2</t>
  </si>
  <si>
    <t>UPVC排水管 DN200</t>
  </si>
  <si>
    <t>φ800重型防盗铸铁井盖及盖座</t>
  </si>
  <si>
    <t>套</t>
  </si>
  <si>
    <t>φ700重型防盗铸铁井盖及盖座</t>
  </si>
  <si>
    <t>φ700轻型防盗铸铁井盖及盖座</t>
  </si>
  <si>
    <t>中粒式改性沥青砼AC-16C</t>
  </si>
  <si>
    <t>细粒式改性沥青砼AC-13C</t>
  </si>
  <si>
    <t>Q235B焊接钢管DN300</t>
  </si>
  <si>
    <t>Q235B焊接钢管DN200</t>
  </si>
  <si>
    <t>K9级球墨铸铁管DN300</t>
  </si>
  <si>
    <t>PE管 DN160</t>
  </si>
  <si>
    <t>一</t>
  </si>
  <si>
    <t>小计</t>
  </si>
  <si>
    <t>二</t>
  </si>
  <si>
    <t>税金</t>
  </si>
  <si>
    <t>%</t>
  </si>
  <si>
    <t>三</t>
  </si>
  <si>
    <t>总计材料费</t>
  </si>
  <si>
    <t>总计</t>
  </si>
  <si>
    <t xml:space="preserve">芦塘乡排水工程--材料费 </t>
  </si>
  <si>
    <t xml:space="preserve">联合乡排水工程--材料费 </t>
  </si>
  <si>
    <t>500*500mmGRP复合材料井盖、井座</t>
  </si>
  <si>
    <t xml:space="preserve">乔梓乡排水工程--材料费 </t>
  </si>
  <si>
    <t>DN400聚乙烯（HDPE）双壁波纹管 SN≥8000N/m2</t>
  </si>
  <si>
    <t>一体化污水提升泵站</t>
  </si>
  <si>
    <t>座</t>
  </si>
  <si>
    <t>Q235B焊接钢管DN400</t>
  </si>
  <si>
    <t>PE管 DN90</t>
  </si>
  <si>
    <t>500*500mmGRP复合材料井盖</t>
  </si>
  <si>
    <t>K9级球墨铸铁管DN400</t>
  </si>
  <si>
    <t>PE管 DN110</t>
  </si>
  <si>
    <t>150*300石质路缘石</t>
  </si>
  <si>
    <t>300*600mm仿石材透水砖</t>
  </si>
  <si>
    <t>PE管 DN125</t>
  </si>
  <si>
    <t>Q235B焊接钢管DN500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</si>
</sst>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6" applyNumberFormat="0" applyAlignment="0" applyProtection="0">
      <alignment vertical="center"/>
    </xf>
    <xf numFmtId="0" fontId="20" fillId="4" borderId="17" applyNumberFormat="0" applyAlignment="0" applyProtection="0">
      <alignment vertical="center"/>
    </xf>
    <xf numFmtId="0" fontId="21" fillId="4" borderId="16" applyNumberFormat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" fillId="0" borderId="0"/>
  </cellStyleXfs>
  <cellXfs count="8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center" vertical="center"/>
    </xf>
    <xf numFmtId="176" fontId="3" fillId="0" borderId="11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 vertical="center"/>
    </xf>
    <xf numFmtId="176" fontId="3" fillId="0" borderId="7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176" fontId="3" fillId="0" borderId="11" xfId="0" applyNumberFormat="1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176" fontId="7" fillId="0" borderId="0" xfId="0" applyNumberFormat="1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left" vertical="center" wrapText="1"/>
    </xf>
    <xf numFmtId="176" fontId="9" fillId="0" borderId="5" xfId="0" applyNumberFormat="1" applyFont="1" applyFill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left" vertical="center" wrapText="1"/>
    </xf>
    <xf numFmtId="176" fontId="8" fillId="0" borderId="11" xfId="0" applyNumberFormat="1" applyFont="1" applyFill="1" applyBorder="1" applyAlignment="1">
      <alignment horizontal="center" vertical="center"/>
    </xf>
    <xf numFmtId="176" fontId="8" fillId="0" borderId="12" xfId="0" applyNumberFormat="1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 vertical="center"/>
    </xf>
    <xf numFmtId="10" fontId="10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5"/>
  <sheetViews>
    <sheetView workbookViewId="0">
      <selection activeCell="A3" sqref="A3:A14"/>
    </sheetView>
  </sheetViews>
  <sheetFormatPr defaultColWidth="9" defaultRowHeight="13.5"/>
  <cols>
    <col min="1" max="1" width="5.75" style="63" customWidth="1"/>
    <col min="2" max="2" width="36.6333333333333" style="63" customWidth="1"/>
    <col min="3" max="3" width="26.775" style="64" customWidth="1"/>
    <col min="4" max="4" width="28.775" style="65" customWidth="1"/>
    <col min="5" max="6" width="28.775" style="63" customWidth="1"/>
    <col min="7" max="7" width="17.5" style="63" customWidth="1"/>
    <col min="8" max="8" width="11.1333333333333" style="63"/>
    <col min="9" max="12" width="9" style="63"/>
    <col min="13" max="16384" width="9" style="61"/>
  </cols>
  <sheetData>
    <row r="1" s="61" customFormat="1" ht="40" customHeight="1" spans="1:12">
      <c r="A1" s="66" t="s">
        <v>0</v>
      </c>
      <c r="B1" s="66"/>
      <c r="C1" s="67"/>
      <c r="D1" s="67"/>
      <c r="E1" s="63"/>
      <c r="F1" s="63"/>
      <c r="G1" s="63"/>
      <c r="H1" s="63"/>
      <c r="I1" s="63"/>
      <c r="J1" s="63"/>
      <c r="K1" s="63"/>
      <c r="L1" s="63"/>
    </row>
    <row r="2" s="61" customFormat="1" ht="17.5" customHeight="1" spans="1:12">
      <c r="A2" s="68" t="s">
        <v>1</v>
      </c>
      <c r="B2" s="69" t="s">
        <v>2</v>
      </c>
      <c r="C2" s="70" t="s">
        <v>3</v>
      </c>
      <c r="D2" s="71" t="s">
        <v>4</v>
      </c>
      <c r="E2" s="63"/>
      <c r="F2" s="63"/>
      <c r="G2" s="63"/>
      <c r="H2" s="63"/>
      <c r="I2" s="63"/>
      <c r="J2" s="63"/>
      <c r="K2" s="63"/>
      <c r="L2" s="63"/>
    </row>
    <row r="3" s="61" customFormat="1" ht="17.5" customHeight="1" spans="1:12">
      <c r="A3" s="72">
        <v>1</v>
      </c>
      <c r="B3" s="73" t="s">
        <v>5</v>
      </c>
      <c r="C3" s="74">
        <f>'郁山镇排水工程--材料费 '!F23</f>
        <v>598993.63</v>
      </c>
      <c r="D3" s="75"/>
      <c r="E3" s="63"/>
      <c r="F3" s="63"/>
      <c r="G3" s="63"/>
      <c r="H3" s="63"/>
      <c r="I3" s="63"/>
      <c r="J3" s="63"/>
      <c r="K3" s="63"/>
      <c r="L3" s="63"/>
    </row>
    <row r="4" s="61" customFormat="1" ht="17.5" customHeight="1" spans="1:12">
      <c r="A4" s="72">
        <v>2</v>
      </c>
      <c r="B4" s="73" t="s">
        <v>6</v>
      </c>
      <c r="C4" s="74">
        <f>'芦塘乡排水工程--材料费  '!F19</f>
        <v>907748.02</v>
      </c>
      <c r="D4" s="75"/>
      <c r="E4" s="63"/>
      <c r="F4" s="63"/>
      <c r="G4" s="63"/>
      <c r="H4" s="63"/>
      <c r="I4" s="63"/>
      <c r="J4" s="63"/>
      <c r="K4" s="63"/>
      <c r="L4" s="63"/>
    </row>
    <row r="5" s="61" customFormat="1" ht="17.5" customHeight="1" spans="1:12">
      <c r="A5" s="72">
        <v>3</v>
      </c>
      <c r="B5" s="73" t="s">
        <v>7</v>
      </c>
      <c r="C5" s="74">
        <f>'联合乡排水工程--材料费 '!F16</f>
        <v>64474.41</v>
      </c>
      <c r="D5" s="75"/>
      <c r="E5" s="63"/>
      <c r="F5" s="63"/>
      <c r="G5" s="63"/>
      <c r="H5" s="63"/>
      <c r="I5" s="63"/>
      <c r="J5" s="63"/>
      <c r="K5" s="63"/>
      <c r="L5" s="63"/>
    </row>
    <row r="6" s="61" customFormat="1" ht="17.5" customHeight="1" spans="1:12">
      <c r="A6" s="72">
        <v>4</v>
      </c>
      <c r="B6" s="73" t="s">
        <v>8</v>
      </c>
      <c r="C6" s="74">
        <f>'乔梓乡排水工程--材料费 '!F19</f>
        <v>704978.23</v>
      </c>
      <c r="D6" s="75"/>
      <c r="E6" s="63"/>
      <c r="F6" s="63"/>
      <c r="G6" s="63"/>
      <c r="H6" s="63"/>
      <c r="I6" s="63"/>
      <c r="J6" s="63"/>
      <c r="K6" s="63"/>
      <c r="L6" s="63"/>
    </row>
    <row r="7" s="61" customFormat="1" ht="17.5" customHeight="1" spans="1:12">
      <c r="A7" s="72">
        <v>5</v>
      </c>
      <c r="B7" s="73" t="s">
        <v>9</v>
      </c>
      <c r="C7" s="74">
        <f>'三义乡排水工程--材料费'!F18</f>
        <v>842006.98</v>
      </c>
      <c r="D7" s="75"/>
      <c r="E7" s="63"/>
      <c r="F7" s="63"/>
      <c r="G7" s="63"/>
      <c r="H7" s="63"/>
      <c r="I7" s="63"/>
      <c r="J7" s="63"/>
      <c r="K7" s="63"/>
      <c r="L7" s="63"/>
    </row>
    <row r="8" s="61" customFormat="1" ht="17.5" customHeight="1" spans="1:12">
      <c r="A8" s="72">
        <v>6</v>
      </c>
      <c r="B8" s="73" t="s">
        <v>10</v>
      </c>
      <c r="C8" s="74">
        <f>'岩东乡排水工程--材料费'!F20</f>
        <v>518219.83</v>
      </c>
      <c r="D8" s="75"/>
      <c r="E8" s="63"/>
      <c r="F8" s="63"/>
      <c r="G8" s="63"/>
      <c r="H8" s="63"/>
      <c r="I8" s="63"/>
      <c r="J8" s="63"/>
      <c r="K8" s="63"/>
      <c r="L8" s="63"/>
    </row>
    <row r="9" s="61" customFormat="1" ht="17.5" customHeight="1" spans="1:12">
      <c r="A9" s="72">
        <v>7</v>
      </c>
      <c r="B9" s="73" t="s">
        <v>11</v>
      </c>
      <c r="C9" s="74">
        <f>'平安镇排水工程--材料费'!F24</f>
        <v>3408408.86</v>
      </c>
      <c r="D9" s="75"/>
      <c r="E9" s="63"/>
      <c r="F9" s="63"/>
      <c r="G9" s="63"/>
      <c r="H9" s="63"/>
      <c r="I9" s="63"/>
      <c r="J9" s="63"/>
      <c r="K9" s="63"/>
      <c r="L9" s="63"/>
    </row>
    <row r="10" s="61" customFormat="1" ht="17.5" customHeight="1" spans="1:12">
      <c r="A10" s="72">
        <v>8</v>
      </c>
      <c r="B10" s="73" t="s">
        <v>12</v>
      </c>
      <c r="C10" s="74">
        <f>'连湖镇排水工程--材料费'!F20</f>
        <v>560777.03</v>
      </c>
      <c r="D10" s="75"/>
      <c r="E10" s="63"/>
      <c r="F10" s="63"/>
      <c r="G10" s="63"/>
      <c r="H10" s="63"/>
      <c r="I10" s="63"/>
      <c r="J10" s="63"/>
      <c r="K10" s="63"/>
      <c r="L10" s="63"/>
    </row>
    <row r="11" s="61" customFormat="1" ht="17.5" customHeight="1" spans="1:12">
      <c r="A11" s="72">
        <v>9</v>
      </c>
      <c r="B11" s="73" t="s">
        <v>13</v>
      </c>
      <c r="C11" s="74">
        <f>'桑柘镇排水工程--材料费'!F21</f>
        <v>2877613.82</v>
      </c>
      <c r="D11" s="75"/>
      <c r="E11" s="63"/>
      <c r="F11" s="63"/>
      <c r="G11" s="63"/>
      <c r="H11" s="63"/>
      <c r="I11" s="63"/>
      <c r="J11" s="63"/>
      <c r="K11" s="63"/>
      <c r="L11" s="63"/>
    </row>
    <row r="12" s="61" customFormat="1" ht="17.5" customHeight="1" spans="1:12">
      <c r="A12" s="72">
        <v>10</v>
      </c>
      <c r="B12" s="73" t="s">
        <v>14</v>
      </c>
      <c r="C12" s="74">
        <f>'新田镇排水工程--材料费'!F24</f>
        <v>2950487.42</v>
      </c>
      <c r="D12" s="75"/>
      <c r="E12" s="63"/>
      <c r="F12" s="63"/>
      <c r="G12" s="63"/>
      <c r="H12" s="63"/>
      <c r="I12" s="63"/>
      <c r="J12" s="63"/>
      <c r="K12" s="63"/>
      <c r="L12" s="63"/>
    </row>
    <row r="13" s="61" customFormat="1" ht="17.5" customHeight="1" spans="1:12">
      <c r="A13" s="72">
        <v>11</v>
      </c>
      <c r="B13" s="73" t="s">
        <v>15</v>
      </c>
      <c r="C13" s="74">
        <f>'诸佛乡排水工程--材料费'!F23</f>
        <v>769649.92</v>
      </c>
      <c r="D13" s="75"/>
      <c r="E13" s="63"/>
      <c r="F13" s="63"/>
      <c r="G13" s="63"/>
      <c r="H13" s="63"/>
      <c r="I13" s="63"/>
      <c r="J13" s="63"/>
      <c r="K13" s="63"/>
      <c r="L13" s="63"/>
    </row>
    <row r="14" s="61" customFormat="1" ht="17.5" customHeight="1" spans="1:12">
      <c r="A14" s="72">
        <v>12</v>
      </c>
      <c r="B14" s="73" t="s">
        <v>16</v>
      </c>
      <c r="C14" s="74">
        <f>'石盘乡排水工程--材料费'!F22</f>
        <v>1135602.53</v>
      </c>
      <c r="D14" s="75"/>
      <c r="E14" s="63"/>
      <c r="F14" s="63"/>
      <c r="G14" s="63"/>
      <c r="H14" s="63"/>
      <c r="I14" s="63"/>
      <c r="J14" s="63"/>
      <c r="K14" s="63"/>
      <c r="L14" s="63"/>
    </row>
    <row r="15" s="62" customFormat="1" ht="17.5" customHeight="1" spans="1:12">
      <c r="A15" s="76" t="s">
        <v>17</v>
      </c>
      <c r="B15" s="77" t="s">
        <v>18</v>
      </c>
      <c r="C15" s="78">
        <f>SUM(C3:C14)</f>
        <v>15338960.68</v>
      </c>
      <c r="D15" s="79"/>
      <c r="E15" s="80"/>
      <c r="F15" s="80"/>
      <c r="G15" s="81"/>
      <c r="H15" s="80"/>
      <c r="I15" s="80"/>
      <c r="J15" s="80"/>
      <c r="K15" s="80"/>
      <c r="L15" s="80"/>
    </row>
    <row r="16" ht="18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30" customHeight="1"/>
    <row r="33" ht="30" customHeight="1"/>
    <row r="34" ht="30" customHeight="1"/>
    <row r="35" ht="30" customHeight="1"/>
  </sheetData>
  <mergeCells count="1">
    <mergeCell ref="A1:D1"/>
  </mergeCells>
  <printOptions horizontalCentered="1"/>
  <pageMargins left="0.472222222222222" right="0.472222222222222" top="0.786805555555556" bottom="0.472222222222222" header="0.5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6"/>
  <sheetViews>
    <sheetView workbookViewId="0">
      <selection activeCell="E7" sqref="E7"/>
    </sheetView>
  </sheetViews>
  <sheetFormatPr defaultColWidth="9" defaultRowHeight="13.5"/>
  <cols>
    <col min="1" max="1" width="5.63333333333333" customWidth="1"/>
    <col min="2" max="2" width="40.6333333333333" customWidth="1"/>
    <col min="3" max="3" width="5.63333333333333" customWidth="1"/>
    <col min="4" max="4" width="10.6333333333333" customWidth="1"/>
    <col min="5" max="7" width="12.6333333333333" customWidth="1"/>
    <col min="16381" max="16384" width="9" style="1"/>
  </cols>
  <sheetData>
    <row r="1" customFormat="1" ht="40" customHeight="1" spans="1:13">
      <c r="A1" s="2" t="s">
        <v>13</v>
      </c>
      <c r="B1" s="2"/>
      <c r="C1" s="2"/>
      <c r="D1" s="3"/>
      <c r="E1" s="3"/>
      <c r="F1" s="3"/>
      <c r="G1" s="2"/>
      <c r="H1" s="4"/>
      <c r="I1" s="4"/>
      <c r="J1" s="4"/>
      <c r="K1" s="4"/>
      <c r="L1" s="4"/>
      <c r="M1" s="4"/>
    </row>
    <row r="2" customFormat="1" ht="20" customHeight="1" spans="1:13">
      <c r="A2" s="5" t="s">
        <v>1</v>
      </c>
      <c r="B2" s="6" t="s">
        <v>20</v>
      </c>
      <c r="C2" s="6" t="s">
        <v>21</v>
      </c>
      <c r="D2" s="7" t="s">
        <v>22</v>
      </c>
      <c r="E2" s="7" t="s">
        <v>23</v>
      </c>
      <c r="F2" s="7" t="s">
        <v>24</v>
      </c>
      <c r="G2" s="8" t="s">
        <v>4</v>
      </c>
      <c r="H2" s="4"/>
      <c r="I2" s="4"/>
      <c r="J2" s="4"/>
      <c r="K2" s="4"/>
      <c r="L2" s="4"/>
      <c r="M2" s="4"/>
    </row>
    <row r="3" customFormat="1" ht="20" customHeight="1" spans="1:13">
      <c r="A3" s="9">
        <v>1</v>
      </c>
      <c r="B3" s="10" t="s">
        <v>25</v>
      </c>
      <c r="C3" s="11" t="s">
        <v>26</v>
      </c>
      <c r="D3" s="12">
        <f>(93308.95+311599.541)/1000</f>
        <v>404.908491</v>
      </c>
      <c r="E3" s="12">
        <v>310</v>
      </c>
      <c r="F3" s="12">
        <f t="shared" ref="F3:F11" si="0">ROUND(D3*E3,2)</f>
        <v>125521.63</v>
      </c>
      <c r="G3" s="13"/>
      <c r="H3" s="4"/>
      <c r="I3" s="4"/>
      <c r="J3" s="4"/>
      <c r="K3" s="4"/>
      <c r="L3" s="4"/>
      <c r="M3" s="4"/>
    </row>
    <row r="4" customFormat="1" ht="20" customHeight="1" spans="1:13">
      <c r="A4" s="9">
        <v>2</v>
      </c>
      <c r="B4" s="10" t="s">
        <v>27</v>
      </c>
      <c r="C4" s="11" t="s">
        <v>26</v>
      </c>
      <c r="D4" s="12">
        <f>563675.175/1000</f>
        <v>563.675175</v>
      </c>
      <c r="E4" s="12">
        <v>330</v>
      </c>
      <c r="F4" s="12">
        <f t="shared" si="0"/>
        <v>186012.81</v>
      </c>
      <c r="G4" s="13"/>
      <c r="H4" s="4"/>
      <c r="I4" s="4"/>
      <c r="J4" s="4"/>
      <c r="K4" s="4"/>
      <c r="L4" s="4"/>
      <c r="M4" s="4"/>
    </row>
    <row r="5" customFormat="1" ht="20" customHeight="1" spans="1:13">
      <c r="A5" s="9">
        <v>3</v>
      </c>
      <c r="B5" s="14" t="s">
        <v>28</v>
      </c>
      <c r="C5" s="11" t="s">
        <v>26</v>
      </c>
      <c r="D5" s="12">
        <f>5.3*1.5+333.0114+149.337+501.1833+756.1496+5268.5*1.5</f>
        <v>9650.3813</v>
      </c>
      <c r="E5" s="12">
        <v>69</v>
      </c>
      <c r="F5" s="12">
        <f t="shared" si="0"/>
        <v>665876.31</v>
      </c>
      <c r="G5" s="13"/>
      <c r="H5" s="4"/>
      <c r="I5" s="4"/>
      <c r="J5" s="4"/>
      <c r="K5" s="4"/>
      <c r="L5" s="4"/>
      <c r="M5" s="4"/>
    </row>
    <row r="6" customFormat="1" ht="20" customHeight="1" spans="1:13">
      <c r="A6" s="9">
        <v>4</v>
      </c>
      <c r="B6" s="14" t="s">
        <v>29</v>
      </c>
      <c r="C6" s="11" t="s">
        <v>26</v>
      </c>
      <c r="D6" s="12">
        <f>1551.42+179.01+283.54+949.6092+1897.2482+12.6349+47.25</f>
        <v>4920.7123</v>
      </c>
      <c r="E6" s="12">
        <v>65</v>
      </c>
      <c r="F6" s="12">
        <f t="shared" si="0"/>
        <v>319846.3</v>
      </c>
      <c r="G6" s="13"/>
      <c r="H6" s="4"/>
      <c r="I6" s="4"/>
      <c r="J6" s="4"/>
      <c r="K6" s="4"/>
      <c r="L6" s="4"/>
      <c r="M6" s="4"/>
    </row>
    <row r="7" customFormat="1" ht="20" customHeight="1" spans="1:13">
      <c r="A7" s="9">
        <v>5</v>
      </c>
      <c r="B7" s="14" t="s">
        <v>30</v>
      </c>
      <c r="C7" s="15" t="s">
        <v>31</v>
      </c>
      <c r="D7" s="12">
        <v>1000</v>
      </c>
      <c r="E7" s="12">
        <v>66.8</v>
      </c>
      <c r="F7" s="12">
        <f t="shared" si="0"/>
        <v>66800</v>
      </c>
      <c r="G7" s="16"/>
      <c r="H7" s="4"/>
      <c r="I7" s="4"/>
      <c r="J7" s="32"/>
      <c r="K7" s="4"/>
      <c r="L7" s="4"/>
      <c r="M7" s="4"/>
    </row>
    <row r="8" customFormat="1" ht="20" customHeight="1" spans="1:13">
      <c r="A8" s="9">
        <v>6</v>
      </c>
      <c r="B8" s="17" t="s">
        <v>32</v>
      </c>
      <c r="C8" s="18" t="s">
        <v>26</v>
      </c>
      <c r="D8" s="19">
        <v>75.96</v>
      </c>
      <c r="E8" s="12">
        <v>3200</v>
      </c>
      <c r="F8" s="19">
        <f t="shared" si="0"/>
        <v>243072</v>
      </c>
      <c r="G8" s="16"/>
      <c r="H8" s="4"/>
      <c r="I8" s="4"/>
      <c r="J8" s="32"/>
      <c r="K8" s="4"/>
      <c r="L8" s="4"/>
      <c r="M8" s="4"/>
    </row>
    <row r="9" customFormat="1" ht="20" customHeight="1" spans="1:13">
      <c r="A9" s="9">
        <v>7</v>
      </c>
      <c r="B9" s="10" t="s">
        <v>33</v>
      </c>
      <c r="C9" s="11" t="s">
        <v>34</v>
      </c>
      <c r="D9" s="12">
        <v>2862</v>
      </c>
      <c r="E9" s="12">
        <v>70</v>
      </c>
      <c r="F9" s="12">
        <f t="shared" si="0"/>
        <v>200340</v>
      </c>
      <c r="G9" s="16"/>
      <c r="H9" s="4"/>
      <c r="I9" s="4"/>
      <c r="J9" s="32"/>
      <c r="K9" s="4"/>
      <c r="L9" s="4"/>
      <c r="M9" s="4"/>
    </row>
    <row r="10" customFormat="1" ht="20" customHeight="1" spans="1:13">
      <c r="A10" s="9">
        <v>8</v>
      </c>
      <c r="B10" s="10" t="s">
        <v>59</v>
      </c>
      <c r="C10" s="11" t="s">
        <v>34</v>
      </c>
      <c r="D10" s="12">
        <v>1230</v>
      </c>
      <c r="E10" s="12">
        <v>111</v>
      </c>
      <c r="F10" s="12">
        <f t="shared" si="0"/>
        <v>136530</v>
      </c>
      <c r="G10" s="16"/>
      <c r="H10" s="4"/>
      <c r="I10" s="4"/>
      <c r="J10" s="32"/>
      <c r="K10" s="4"/>
      <c r="L10" s="4"/>
      <c r="M10" s="4"/>
    </row>
    <row r="11" customFormat="1" ht="20" customHeight="1" spans="1:13">
      <c r="A11" s="9">
        <v>9</v>
      </c>
      <c r="B11" s="14" t="s">
        <v>36</v>
      </c>
      <c r="C11" s="11" t="s">
        <v>34</v>
      </c>
      <c r="D11" s="12">
        <v>6396</v>
      </c>
      <c r="E11" s="12">
        <v>44</v>
      </c>
      <c r="F11" s="12">
        <f t="shared" si="0"/>
        <v>281424</v>
      </c>
      <c r="G11" s="16"/>
      <c r="H11" s="4"/>
      <c r="I11" s="4"/>
      <c r="J11" s="32"/>
      <c r="K11" s="4"/>
      <c r="L11" s="4"/>
      <c r="M11" s="4"/>
    </row>
    <row r="12" customFormat="1" ht="20" customHeight="1" spans="1:13">
      <c r="A12" s="9">
        <v>10</v>
      </c>
      <c r="B12" s="14" t="s">
        <v>64</v>
      </c>
      <c r="C12" s="11" t="s">
        <v>38</v>
      </c>
      <c r="D12" s="20">
        <v>10</v>
      </c>
      <c r="E12" s="20">
        <v>141</v>
      </c>
      <c r="F12" s="12">
        <f t="shared" ref="F12:F18" si="1">ROUND(D12*E12,2)</f>
        <v>1410</v>
      </c>
      <c r="G12" s="16"/>
      <c r="H12" s="4"/>
      <c r="I12" s="4"/>
      <c r="J12" s="32"/>
      <c r="K12" s="4"/>
      <c r="L12" s="4"/>
      <c r="M12" s="4"/>
    </row>
    <row r="13" customFormat="1" ht="20" customHeight="1" spans="1:13">
      <c r="A13" s="9">
        <v>11</v>
      </c>
      <c r="B13" s="14" t="s">
        <v>37</v>
      </c>
      <c r="C13" s="11" t="s">
        <v>38</v>
      </c>
      <c r="D13" s="20">
        <v>11</v>
      </c>
      <c r="E13" s="20">
        <v>555</v>
      </c>
      <c r="F13" s="12">
        <f t="shared" si="1"/>
        <v>6105</v>
      </c>
      <c r="G13" s="16"/>
      <c r="H13" s="4"/>
      <c r="I13" s="4"/>
      <c r="J13" s="32"/>
      <c r="K13" s="4"/>
      <c r="L13" s="4"/>
      <c r="M13" s="4"/>
    </row>
    <row r="14" customFormat="1" ht="20" customHeight="1" spans="1:13">
      <c r="A14" s="9">
        <v>12</v>
      </c>
      <c r="B14" s="14" t="s">
        <v>39</v>
      </c>
      <c r="C14" s="11" t="s">
        <v>38</v>
      </c>
      <c r="D14" s="20">
        <f>237-48</f>
        <v>189</v>
      </c>
      <c r="E14" s="20">
        <v>495</v>
      </c>
      <c r="F14" s="12">
        <f t="shared" si="1"/>
        <v>93555</v>
      </c>
      <c r="G14" s="16"/>
      <c r="H14" s="4"/>
      <c r="I14" s="4"/>
      <c r="J14" s="32"/>
      <c r="K14" s="4"/>
      <c r="L14" s="4"/>
      <c r="M14" s="4"/>
    </row>
    <row r="15" customFormat="1" ht="20" customHeight="1" spans="1:13">
      <c r="A15" s="9">
        <v>13</v>
      </c>
      <c r="B15" s="14" t="s">
        <v>40</v>
      </c>
      <c r="C15" s="11" t="s">
        <v>38</v>
      </c>
      <c r="D15" s="20">
        <v>48</v>
      </c>
      <c r="E15" s="20">
        <v>263</v>
      </c>
      <c r="F15" s="12">
        <f t="shared" si="1"/>
        <v>12624</v>
      </c>
      <c r="G15" s="16"/>
      <c r="H15" s="4"/>
      <c r="I15" s="4"/>
      <c r="J15" s="32"/>
      <c r="K15" s="4"/>
      <c r="L15" s="4"/>
      <c r="M15" s="4"/>
    </row>
    <row r="16" customFormat="1" ht="20" customHeight="1" spans="1:13">
      <c r="A16" s="9">
        <v>14</v>
      </c>
      <c r="B16" s="14" t="s">
        <v>42</v>
      </c>
      <c r="C16" s="15" t="s">
        <v>31</v>
      </c>
      <c r="D16" s="20">
        <v>136.35</v>
      </c>
      <c r="E16" s="20">
        <v>995</v>
      </c>
      <c r="F16" s="12">
        <f t="shared" si="1"/>
        <v>135668.25</v>
      </c>
      <c r="G16" s="16"/>
      <c r="H16" s="4"/>
      <c r="I16" s="4"/>
      <c r="J16" s="32"/>
      <c r="K16" s="4"/>
      <c r="L16" s="4"/>
      <c r="M16" s="4"/>
    </row>
    <row r="17" customFormat="1" ht="20" customHeight="1" spans="1:13">
      <c r="A17" s="9">
        <v>15</v>
      </c>
      <c r="B17" s="14" t="s">
        <v>45</v>
      </c>
      <c r="C17" s="11" t="s">
        <v>34</v>
      </c>
      <c r="D17" s="20">
        <v>282</v>
      </c>
      <c r="E17" s="20">
        <v>147</v>
      </c>
      <c r="F17" s="12">
        <f t="shared" si="1"/>
        <v>41454</v>
      </c>
      <c r="G17" s="16"/>
      <c r="H17" s="4"/>
      <c r="I17" s="4"/>
      <c r="J17" s="32"/>
      <c r="K17" s="4"/>
      <c r="L17" s="4"/>
      <c r="M17" s="4"/>
    </row>
    <row r="18" customFormat="1" ht="20" customHeight="1" spans="1:13">
      <c r="A18" s="9">
        <v>16</v>
      </c>
      <c r="B18" s="14" t="s">
        <v>65</v>
      </c>
      <c r="C18" s="11" t="s">
        <v>34</v>
      </c>
      <c r="D18" s="20">
        <v>96</v>
      </c>
      <c r="E18" s="20">
        <v>315.85</v>
      </c>
      <c r="F18" s="12">
        <f t="shared" si="1"/>
        <v>30321.6</v>
      </c>
      <c r="G18" s="16"/>
      <c r="H18" s="4"/>
      <c r="I18" s="4"/>
      <c r="J18" s="32"/>
      <c r="K18" s="4"/>
      <c r="L18" s="4"/>
      <c r="M18" s="4"/>
    </row>
    <row r="19" customFormat="1" ht="20" customHeight="1" spans="1:13">
      <c r="A19" s="21" t="s">
        <v>47</v>
      </c>
      <c r="B19" s="22" t="s">
        <v>48</v>
      </c>
      <c r="C19" s="23"/>
      <c r="D19" s="24"/>
      <c r="E19" s="24"/>
      <c r="F19" s="24">
        <f>SUM(F3:F18)</f>
        <v>2546560.9</v>
      </c>
      <c r="G19" s="16"/>
      <c r="H19" s="4"/>
      <c r="I19" s="4"/>
      <c r="J19" s="32"/>
      <c r="K19" s="4"/>
      <c r="L19" s="4"/>
      <c r="M19" s="4"/>
    </row>
    <row r="20" customFormat="1" ht="20" customHeight="1" spans="1:13">
      <c r="A20" s="21" t="s">
        <v>49</v>
      </c>
      <c r="B20" s="22" t="s">
        <v>50</v>
      </c>
      <c r="C20" s="23" t="s">
        <v>51</v>
      </c>
      <c r="D20" s="24">
        <v>13</v>
      </c>
      <c r="E20" s="24"/>
      <c r="F20" s="24">
        <f>ROUND(F19*D20/100,2)</f>
        <v>331052.92</v>
      </c>
      <c r="G20" s="16"/>
      <c r="H20" s="4"/>
      <c r="I20" s="4"/>
      <c r="J20" s="32"/>
      <c r="K20" s="4"/>
      <c r="L20" s="4"/>
      <c r="M20" s="4"/>
    </row>
    <row r="21" customFormat="1" ht="20" customHeight="1" spans="1:13">
      <c r="A21" s="21" t="s">
        <v>52</v>
      </c>
      <c r="B21" s="22" t="s">
        <v>53</v>
      </c>
      <c r="C21" s="15"/>
      <c r="D21" s="20"/>
      <c r="E21" s="20"/>
      <c r="F21" s="24">
        <f>F19+F20</f>
        <v>2877613.82</v>
      </c>
      <c r="G21" s="16"/>
      <c r="H21" s="4"/>
      <c r="I21" s="4"/>
      <c r="J21" s="33"/>
      <c r="K21" s="4"/>
      <c r="L21" s="4"/>
      <c r="M21" s="4"/>
    </row>
    <row r="22" customFormat="1" ht="20" customHeight="1" spans="1:13">
      <c r="A22" s="25"/>
      <c r="B22" s="14"/>
      <c r="C22" s="15"/>
      <c r="D22" s="20"/>
      <c r="E22" s="20"/>
      <c r="F22" s="20"/>
      <c r="G22" s="16"/>
      <c r="H22" s="4"/>
      <c r="I22" s="4"/>
      <c r="J22" s="4"/>
      <c r="K22" s="4"/>
      <c r="L22" s="4"/>
      <c r="M22" s="4"/>
    </row>
    <row r="23" customFormat="1" ht="20" customHeight="1" spans="1:13">
      <c r="A23" s="25"/>
      <c r="B23" s="14"/>
      <c r="C23" s="15"/>
      <c r="D23" s="20"/>
      <c r="E23" s="20"/>
      <c r="F23" s="20"/>
      <c r="G23" s="16"/>
      <c r="H23" s="4"/>
      <c r="I23" s="4"/>
      <c r="J23" s="4"/>
      <c r="K23" s="4"/>
      <c r="L23" s="4"/>
      <c r="M23" s="4"/>
    </row>
    <row r="24" customFormat="1" ht="20" customHeight="1" spans="1:13">
      <c r="A24" s="25"/>
      <c r="B24" s="14"/>
      <c r="C24" s="15"/>
      <c r="D24" s="20"/>
      <c r="E24" s="20"/>
      <c r="F24" s="20"/>
      <c r="G24" s="16"/>
      <c r="H24" s="4"/>
      <c r="I24" s="4"/>
      <c r="J24" s="4"/>
      <c r="K24" s="4"/>
      <c r="L24" s="4"/>
      <c r="M24" s="4"/>
    </row>
    <row r="25" customFormat="1" ht="20" customHeight="1" spans="1:13">
      <c r="A25" s="25"/>
      <c r="B25" s="14"/>
      <c r="C25" s="15"/>
      <c r="D25" s="20"/>
      <c r="E25" s="20"/>
      <c r="F25" s="20"/>
      <c r="G25" s="16"/>
      <c r="H25" s="4"/>
      <c r="I25" s="4"/>
      <c r="J25" s="4"/>
      <c r="K25" s="4"/>
      <c r="L25" s="4"/>
      <c r="M25" s="4"/>
    </row>
    <row r="26" customFormat="1" ht="20" customHeight="1" spans="1:13">
      <c r="A26" s="26"/>
      <c r="B26" s="27" t="s">
        <v>54</v>
      </c>
      <c r="C26" s="28"/>
      <c r="D26" s="29"/>
      <c r="E26" s="29"/>
      <c r="F26" s="30"/>
      <c r="G26" s="31"/>
      <c r="H26" s="4"/>
      <c r="I26" s="4"/>
      <c r="J26" s="4"/>
      <c r="K26" s="4"/>
      <c r="L26" s="4"/>
      <c r="M26" s="4"/>
    </row>
    <row r="27" customFormat="1" ht="20" customHeight="1"/>
    <row r="28" customFormat="1" ht="20" customHeight="1"/>
    <row r="29" customFormat="1" ht="20" customHeight="1"/>
    <row r="30" customFormat="1" ht="18" customHeight="1"/>
    <row r="31" customFormat="1" ht="18" customHeight="1"/>
    <row r="32" customFormat="1" ht="18" customHeight="1"/>
    <row r="33" customFormat="1" ht="18" customHeight="1"/>
    <row r="34" customFormat="1" ht="18" customHeight="1"/>
    <row r="35" customFormat="1" ht="18" customHeight="1"/>
    <row r="36" customFormat="1" ht="18" customHeight="1"/>
    <row r="37" customFormat="1" ht="18" customHeight="1"/>
    <row r="38" customFormat="1" ht="18" customHeight="1"/>
    <row r="39" customFormat="1" ht="18" customHeight="1"/>
    <row r="40" customFormat="1" ht="18" customHeight="1"/>
    <row r="41" customFormat="1" ht="18" customHeight="1"/>
    <row r="42" customFormat="1" ht="18" customHeight="1"/>
    <row r="43" customFormat="1" ht="18" customHeight="1"/>
    <row r="44" customFormat="1" ht="18" customHeight="1"/>
    <row r="45" customFormat="1" ht="18" customHeight="1"/>
    <row r="46" customFormat="1" ht="18" customHeight="1"/>
    <row r="47" customFormat="1" spans="16381:16383">
      <c r="XFA47" s="1"/>
      <c r="XFB47" s="1"/>
      <c r="XFC47" s="1"/>
    </row>
    <row r="48" customFormat="1" spans="16381:16383">
      <c r="XFA48" s="1"/>
      <c r="XFB48" s="1"/>
      <c r="XFC48" s="1"/>
    </row>
    <row r="49" customFormat="1" spans="16381:16383">
      <c r="XFA49" s="1"/>
      <c r="XFB49" s="1"/>
      <c r="XFC49" s="1"/>
    </row>
    <row r="50" customFormat="1" spans="16381:16383">
      <c r="XFA50" s="1"/>
      <c r="XFB50" s="1"/>
      <c r="XFC50" s="1"/>
    </row>
    <row r="51" customFormat="1" spans="16381:16383">
      <c r="XFA51" s="1"/>
      <c r="XFB51" s="1"/>
      <c r="XFC51" s="1"/>
    </row>
    <row r="52" customFormat="1" spans="16381:16383">
      <c r="XFA52" s="1"/>
      <c r="XFB52" s="1"/>
      <c r="XFC52" s="1"/>
    </row>
    <row r="53" customFormat="1" spans="16381:16383">
      <c r="XFA53" s="1"/>
      <c r="XFB53" s="1"/>
      <c r="XFC53" s="1"/>
    </row>
    <row r="54" customFormat="1" spans="16381:16383">
      <c r="XFA54" s="1"/>
      <c r="XFB54" s="1"/>
      <c r="XFC54" s="1"/>
    </row>
    <row r="55" customFormat="1" spans="16381:16383">
      <c r="XFA55" s="1"/>
      <c r="XFB55" s="1"/>
      <c r="XFC55" s="1"/>
    </row>
    <row r="56" customFormat="1" spans="16381:16383">
      <c r="XFA56" s="1"/>
      <c r="XFB56" s="1"/>
      <c r="XFC56" s="1"/>
    </row>
    <row r="57" customFormat="1" spans="16381:16383">
      <c r="XFA57" s="1"/>
      <c r="XFB57" s="1"/>
      <c r="XFC57" s="1"/>
    </row>
    <row r="58" customFormat="1" spans="16381:16383">
      <c r="XFA58" s="1"/>
      <c r="XFB58" s="1"/>
      <c r="XFC58" s="1"/>
    </row>
    <row r="59" customFormat="1" spans="16381:16383">
      <c r="XFA59" s="1"/>
      <c r="XFB59" s="1"/>
      <c r="XFC59" s="1"/>
    </row>
    <row r="60" customFormat="1" spans="16381:16383">
      <c r="XFA60" s="1"/>
      <c r="XFB60" s="1"/>
      <c r="XFC60" s="1"/>
    </row>
    <row r="61" customFormat="1" spans="16381:16383">
      <c r="XFA61" s="1"/>
      <c r="XFB61" s="1"/>
      <c r="XFC61" s="1"/>
    </row>
    <row r="62" customFormat="1" spans="16381:16383">
      <c r="XFA62" s="1"/>
      <c r="XFB62" s="1"/>
      <c r="XFC62" s="1"/>
    </row>
    <row r="63" customFormat="1" spans="16381:16383">
      <c r="XFA63" s="1"/>
      <c r="XFB63" s="1"/>
      <c r="XFC63" s="1"/>
    </row>
    <row r="64" customFormat="1" spans="16381:16383">
      <c r="XFA64" s="1"/>
      <c r="XFB64" s="1"/>
      <c r="XFC64" s="1"/>
    </row>
    <row r="65" customFormat="1" spans="16381:16383">
      <c r="XFA65" s="1"/>
      <c r="XFB65" s="1"/>
      <c r="XFC65" s="1"/>
    </row>
    <row r="66" customFormat="1" spans="16381:16383">
      <c r="XFA66" s="1"/>
      <c r="XFB66" s="1"/>
      <c r="XFC66" s="1"/>
    </row>
    <row r="67" customFormat="1" spans="16381:16383">
      <c r="XFA67" s="1"/>
      <c r="XFB67" s="1"/>
      <c r="XFC67" s="1"/>
    </row>
    <row r="68" customFormat="1" spans="16381:16383">
      <c r="XFA68" s="1"/>
      <c r="XFB68" s="1"/>
      <c r="XFC68" s="1"/>
    </row>
    <row r="69" customFormat="1" spans="16381:16383">
      <c r="XFA69" s="1"/>
      <c r="XFB69" s="1"/>
      <c r="XFC69" s="1"/>
    </row>
    <row r="70" customFormat="1" spans="16381:16383">
      <c r="XFA70" s="1"/>
      <c r="XFB70" s="1"/>
      <c r="XFC70" s="1"/>
    </row>
    <row r="71" customFormat="1" spans="16381:16383">
      <c r="XFA71" s="1"/>
      <c r="XFB71" s="1"/>
      <c r="XFC71" s="1"/>
    </row>
    <row r="72" customFormat="1" spans="16381:16383">
      <c r="XFA72" s="1"/>
      <c r="XFB72" s="1"/>
      <c r="XFC72" s="1"/>
    </row>
    <row r="73" customFormat="1" spans="16381:16383">
      <c r="XFA73" s="1"/>
      <c r="XFB73" s="1"/>
      <c r="XFC73" s="1"/>
    </row>
    <row r="74" customFormat="1" spans="16381:16383">
      <c r="XFA74" s="1"/>
      <c r="XFB74" s="1"/>
      <c r="XFC74" s="1"/>
    </row>
    <row r="75" customFormat="1" spans="16381:16383">
      <c r="XFA75" s="1"/>
      <c r="XFB75" s="1"/>
      <c r="XFC75" s="1"/>
    </row>
    <row r="76" customFormat="1" spans="16381:16383">
      <c r="XFA76" s="1"/>
      <c r="XFB76" s="1"/>
      <c r="XFC76" s="1"/>
    </row>
  </sheetData>
  <mergeCells count="1">
    <mergeCell ref="A1:G1"/>
  </mergeCells>
  <printOptions horizontalCentered="1"/>
  <pageMargins left="0.472222222222222" right="0.472222222222222" top="0.786805555555556" bottom="0.590277777777778" header="0.5" footer="0.5"/>
  <pageSetup paperSize="9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82"/>
  <sheetViews>
    <sheetView workbookViewId="0">
      <selection activeCell="F24" sqref="F24"/>
    </sheetView>
  </sheetViews>
  <sheetFormatPr defaultColWidth="9" defaultRowHeight="13.5"/>
  <cols>
    <col min="1" max="1" width="5.63333333333333" customWidth="1"/>
    <col min="2" max="2" width="40.6333333333333" customWidth="1"/>
    <col min="3" max="3" width="5.63333333333333" customWidth="1"/>
    <col min="4" max="4" width="10.6333333333333" customWidth="1"/>
    <col min="5" max="7" width="12.6333333333333" customWidth="1"/>
    <col min="16381" max="16384" width="9" style="1"/>
  </cols>
  <sheetData>
    <row r="1" customFormat="1" ht="40" customHeight="1" spans="1:13">
      <c r="A1" s="2" t="s">
        <v>14</v>
      </c>
      <c r="B1" s="2"/>
      <c r="C1" s="2"/>
      <c r="D1" s="3"/>
      <c r="E1" s="3"/>
      <c r="F1" s="3"/>
      <c r="G1" s="2"/>
      <c r="H1" s="4"/>
      <c r="I1" s="4"/>
      <c r="J1" s="4"/>
      <c r="K1" s="4"/>
      <c r="L1" s="4"/>
      <c r="M1" s="4"/>
    </row>
    <row r="2" customFormat="1" ht="20" customHeight="1" spans="1:13">
      <c r="A2" s="5" t="s">
        <v>1</v>
      </c>
      <c r="B2" s="6" t="s">
        <v>20</v>
      </c>
      <c r="C2" s="6" t="s">
        <v>21</v>
      </c>
      <c r="D2" s="7" t="s">
        <v>22</v>
      </c>
      <c r="E2" s="7" t="s">
        <v>23</v>
      </c>
      <c r="F2" s="7" t="s">
        <v>24</v>
      </c>
      <c r="G2" s="8" t="s">
        <v>4</v>
      </c>
      <c r="H2" s="4"/>
      <c r="I2" s="4"/>
      <c r="J2" s="4"/>
      <c r="K2" s="4"/>
      <c r="L2" s="4"/>
      <c r="M2" s="4"/>
    </row>
    <row r="3" customFormat="1" ht="20" customHeight="1" spans="1:13">
      <c r="A3" s="9">
        <v>1</v>
      </c>
      <c r="B3" s="10" t="s">
        <v>25</v>
      </c>
      <c r="C3" s="11" t="s">
        <v>26</v>
      </c>
      <c r="D3" s="12">
        <f>(335103.4446+133598.76)/1000</f>
        <v>468.7022046</v>
      </c>
      <c r="E3" s="12">
        <v>305</v>
      </c>
      <c r="F3" s="12">
        <f>ROUND(D3*E3,2)</f>
        <v>142954.17</v>
      </c>
      <c r="G3" s="13"/>
      <c r="H3" s="4"/>
      <c r="I3" s="4"/>
      <c r="J3" s="4"/>
      <c r="K3" s="4"/>
      <c r="L3" s="4"/>
      <c r="M3" s="4"/>
    </row>
    <row r="4" customFormat="1" ht="20" customHeight="1" spans="1:13">
      <c r="A4" s="9">
        <v>2</v>
      </c>
      <c r="B4" s="10" t="s">
        <v>27</v>
      </c>
      <c r="C4" s="11" t="s">
        <v>26</v>
      </c>
      <c r="D4" s="12">
        <f>685399.05/1000</f>
        <v>685.39905</v>
      </c>
      <c r="E4" s="12">
        <v>325</v>
      </c>
      <c r="F4" s="12">
        <f>ROUND(D4*E4,2)</f>
        <v>222754.69</v>
      </c>
      <c r="G4" s="13"/>
      <c r="H4" s="4"/>
      <c r="I4" s="4"/>
      <c r="J4" s="4"/>
      <c r="K4" s="4"/>
      <c r="L4" s="4"/>
      <c r="M4" s="4"/>
    </row>
    <row r="5" customFormat="1" ht="20" customHeight="1" spans="1:13">
      <c r="A5" s="9">
        <v>3</v>
      </c>
      <c r="B5" s="14" t="s">
        <v>28</v>
      </c>
      <c r="C5" s="11" t="s">
        <v>26</v>
      </c>
      <c r="D5" s="12">
        <f>2.4092*1.5+404.9241+542.8103+249.2623+919.4378+5140*1.5</f>
        <v>9830.0483</v>
      </c>
      <c r="E5" s="12">
        <v>64</v>
      </c>
      <c r="F5" s="12">
        <f>ROUND(D5*E5,2)</f>
        <v>629123.09</v>
      </c>
      <c r="G5" s="13"/>
      <c r="H5" s="4"/>
      <c r="I5" s="4"/>
      <c r="J5" s="4"/>
      <c r="K5" s="4"/>
      <c r="L5" s="4"/>
      <c r="M5" s="4"/>
    </row>
    <row r="6" customFormat="1" ht="20" customHeight="1" spans="1:13">
      <c r="A6" s="9">
        <v>4</v>
      </c>
      <c r="B6" s="14" t="s">
        <v>29</v>
      </c>
      <c r="C6" s="11" t="s">
        <v>26</v>
      </c>
      <c r="D6" s="12">
        <f>1819.935+1024.9053+440.3269+2306.9529+5.7431+61.25</f>
        <v>5659.1132</v>
      </c>
      <c r="E6" s="12">
        <v>55</v>
      </c>
      <c r="F6" s="12">
        <f>ROUND(D6*E6,2)</f>
        <v>311251.23</v>
      </c>
      <c r="G6" s="13"/>
      <c r="H6" s="4"/>
      <c r="I6" s="4"/>
      <c r="J6" s="4"/>
      <c r="K6" s="4"/>
      <c r="L6" s="4"/>
      <c r="M6" s="4"/>
    </row>
    <row r="7" customFormat="1" ht="20" customHeight="1" spans="1:13">
      <c r="A7" s="9">
        <v>5</v>
      </c>
      <c r="B7" s="14" t="s">
        <v>30</v>
      </c>
      <c r="C7" s="15" t="s">
        <v>31</v>
      </c>
      <c r="D7" s="12">
        <v>1200</v>
      </c>
      <c r="E7" s="12">
        <v>52.5</v>
      </c>
      <c r="F7" s="12">
        <f t="shared" ref="F7:F12" si="0">ROUND(D7*E7,2)</f>
        <v>63000</v>
      </c>
      <c r="G7" s="16"/>
      <c r="H7" s="4"/>
      <c r="I7" s="4"/>
      <c r="J7" s="32"/>
      <c r="K7" s="4"/>
      <c r="L7" s="4"/>
      <c r="M7" s="4"/>
    </row>
    <row r="8" customFormat="1" ht="20" customHeight="1" spans="1:13">
      <c r="A8" s="9">
        <v>6</v>
      </c>
      <c r="B8" s="17" t="s">
        <v>32</v>
      </c>
      <c r="C8" s="18" t="s">
        <v>26</v>
      </c>
      <c r="D8" s="19">
        <v>45.7</v>
      </c>
      <c r="E8" s="19">
        <v>3100</v>
      </c>
      <c r="F8" s="19">
        <f t="shared" si="0"/>
        <v>141670</v>
      </c>
      <c r="G8" s="16"/>
      <c r="H8" s="4"/>
      <c r="I8" s="4"/>
      <c r="J8" s="32"/>
      <c r="K8" s="4"/>
      <c r="L8" s="4"/>
      <c r="M8" s="4"/>
    </row>
    <row r="9" customFormat="1" ht="20" customHeight="1" spans="1:13">
      <c r="A9" s="9">
        <v>7</v>
      </c>
      <c r="B9" s="10" t="s">
        <v>33</v>
      </c>
      <c r="C9" s="11" t="s">
        <v>34</v>
      </c>
      <c r="D9" s="12">
        <v>3288</v>
      </c>
      <c r="E9" s="12">
        <v>68</v>
      </c>
      <c r="F9" s="12">
        <f t="shared" si="0"/>
        <v>223584</v>
      </c>
      <c r="G9" s="16"/>
      <c r="H9" s="4"/>
      <c r="I9" s="4"/>
      <c r="J9" s="32"/>
      <c r="K9" s="4"/>
      <c r="L9" s="4"/>
      <c r="M9" s="4"/>
    </row>
    <row r="10" customFormat="1" ht="20" customHeight="1" spans="1:13">
      <c r="A10" s="9">
        <v>8</v>
      </c>
      <c r="B10" s="10" t="s">
        <v>35</v>
      </c>
      <c r="C10" s="11" t="s">
        <v>34</v>
      </c>
      <c r="D10" s="12">
        <v>162</v>
      </c>
      <c r="E10" s="12">
        <v>145</v>
      </c>
      <c r="F10" s="12">
        <f t="shared" si="0"/>
        <v>23490</v>
      </c>
      <c r="G10" s="16"/>
      <c r="H10" s="4"/>
      <c r="I10" s="4"/>
      <c r="J10" s="32"/>
      <c r="K10" s="4"/>
      <c r="L10" s="4"/>
      <c r="M10" s="4"/>
    </row>
    <row r="11" customFormat="1" ht="20" customHeight="1" spans="1:13">
      <c r="A11" s="9">
        <v>9</v>
      </c>
      <c r="B11" s="14" t="s">
        <v>36</v>
      </c>
      <c r="C11" s="11" t="s">
        <v>34</v>
      </c>
      <c r="D11" s="12">
        <v>7272</v>
      </c>
      <c r="E11" s="12">
        <v>43</v>
      </c>
      <c r="F11" s="12">
        <f t="shared" si="0"/>
        <v>312696</v>
      </c>
      <c r="G11" s="16"/>
      <c r="H11" s="4"/>
      <c r="I11" s="4"/>
      <c r="J11" s="32"/>
      <c r="K11" s="4"/>
      <c r="L11" s="4"/>
      <c r="M11" s="4"/>
    </row>
    <row r="12" customFormat="1" ht="20" customHeight="1" spans="1:13">
      <c r="A12" s="9">
        <v>10</v>
      </c>
      <c r="B12" s="14" t="s">
        <v>60</v>
      </c>
      <c r="C12" s="15" t="s">
        <v>61</v>
      </c>
      <c r="D12" s="20">
        <v>1</v>
      </c>
      <c r="E12" s="20">
        <v>85000</v>
      </c>
      <c r="F12" s="12">
        <f t="shared" si="0"/>
        <v>85000</v>
      </c>
      <c r="G12" s="16"/>
      <c r="H12" s="4"/>
      <c r="I12" s="4"/>
      <c r="J12" s="32"/>
      <c r="K12" s="4"/>
      <c r="L12" s="4"/>
      <c r="M12" s="4"/>
    </row>
    <row r="13" customFormat="1" ht="20" customHeight="1" spans="1:13">
      <c r="A13" s="9">
        <v>11</v>
      </c>
      <c r="B13" s="14" t="s">
        <v>64</v>
      </c>
      <c r="C13" s="11" t="s">
        <v>38</v>
      </c>
      <c r="D13" s="20">
        <v>30</v>
      </c>
      <c r="E13" s="20">
        <v>135</v>
      </c>
      <c r="F13" s="12">
        <f t="shared" ref="F13:F21" si="1">ROUND(D13*E13,2)</f>
        <v>4050</v>
      </c>
      <c r="G13" s="16"/>
      <c r="H13" s="4"/>
      <c r="I13" s="4"/>
      <c r="J13" s="32"/>
      <c r="K13" s="4"/>
      <c r="L13" s="4"/>
      <c r="M13" s="4"/>
    </row>
    <row r="14" customFormat="1" ht="20" customHeight="1" spans="1:13">
      <c r="A14" s="9">
        <v>12</v>
      </c>
      <c r="B14" s="14" t="s">
        <v>37</v>
      </c>
      <c r="C14" s="11" t="s">
        <v>38</v>
      </c>
      <c r="D14" s="20">
        <v>7</v>
      </c>
      <c r="E14" s="20">
        <v>550</v>
      </c>
      <c r="F14" s="12">
        <f t="shared" si="1"/>
        <v>3850</v>
      </c>
      <c r="G14" s="16"/>
      <c r="H14" s="4"/>
      <c r="I14" s="4"/>
      <c r="J14" s="32"/>
      <c r="K14" s="4"/>
      <c r="L14" s="4"/>
      <c r="M14" s="4"/>
    </row>
    <row r="15" customFormat="1" ht="20" customHeight="1" spans="1:13">
      <c r="A15" s="9">
        <v>13</v>
      </c>
      <c r="B15" s="14" t="s">
        <v>39</v>
      </c>
      <c r="C15" s="11" t="s">
        <v>38</v>
      </c>
      <c r="D15" s="20">
        <f>202-41</f>
        <v>161</v>
      </c>
      <c r="E15" s="20">
        <v>490</v>
      </c>
      <c r="F15" s="12">
        <f t="shared" si="1"/>
        <v>78890</v>
      </c>
      <c r="G15" s="16"/>
      <c r="H15" s="4"/>
      <c r="I15" s="4"/>
      <c r="J15" s="32"/>
      <c r="K15" s="4"/>
      <c r="L15" s="4"/>
      <c r="M15" s="4"/>
    </row>
    <row r="16" customFormat="1" ht="20" customHeight="1" spans="1:13">
      <c r="A16" s="9">
        <v>14</v>
      </c>
      <c r="B16" s="14" t="s">
        <v>40</v>
      </c>
      <c r="C16" s="11" t="s">
        <v>38</v>
      </c>
      <c r="D16" s="20">
        <v>41</v>
      </c>
      <c r="E16" s="20">
        <v>260</v>
      </c>
      <c r="F16" s="12">
        <f t="shared" si="1"/>
        <v>10660</v>
      </c>
      <c r="G16" s="16"/>
      <c r="H16" s="4"/>
      <c r="I16" s="4"/>
      <c r="J16" s="32"/>
      <c r="K16" s="4"/>
      <c r="L16" s="4"/>
      <c r="M16" s="4"/>
    </row>
    <row r="17" customFormat="1" ht="20" customHeight="1" spans="1:13">
      <c r="A17" s="9">
        <v>15</v>
      </c>
      <c r="B17" s="14" t="s">
        <v>41</v>
      </c>
      <c r="C17" s="15" t="s">
        <v>31</v>
      </c>
      <c r="D17" s="20">
        <v>176.75</v>
      </c>
      <c r="E17" s="20">
        <v>905</v>
      </c>
      <c r="F17" s="12">
        <f t="shared" si="1"/>
        <v>159958.75</v>
      </c>
      <c r="G17" s="16"/>
      <c r="H17" s="4"/>
      <c r="I17" s="4"/>
      <c r="J17" s="32"/>
      <c r="K17" s="4"/>
      <c r="L17" s="4"/>
      <c r="M17" s="4"/>
    </row>
    <row r="18" customFormat="1" ht="20" customHeight="1" spans="1:13">
      <c r="A18" s="9">
        <v>16</v>
      </c>
      <c r="B18" s="14" t="s">
        <v>42</v>
      </c>
      <c r="C18" s="15" t="s">
        <v>31</v>
      </c>
      <c r="D18" s="20">
        <v>141.4</v>
      </c>
      <c r="E18" s="20">
        <v>980</v>
      </c>
      <c r="F18" s="12">
        <f t="shared" si="1"/>
        <v>138572</v>
      </c>
      <c r="G18" s="16"/>
      <c r="H18" s="4"/>
      <c r="I18" s="4"/>
      <c r="J18" s="32"/>
      <c r="K18" s="4"/>
      <c r="L18" s="4"/>
      <c r="M18" s="4"/>
    </row>
    <row r="19" customFormat="1" ht="20" customHeight="1" spans="1:13">
      <c r="A19" s="9">
        <v>17</v>
      </c>
      <c r="B19" s="14" t="s">
        <v>45</v>
      </c>
      <c r="C19" s="11" t="s">
        <v>34</v>
      </c>
      <c r="D19" s="20">
        <v>234</v>
      </c>
      <c r="E19" s="20">
        <v>160</v>
      </c>
      <c r="F19" s="12">
        <f t="shared" si="1"/>
        <v>37440</v>
      </c>
      <c r="G19" s="16"/>
      <c r="H19" s="4"/>
      <c r="I19" s="4"/>
      <c r="J19" s="4"/>
      <c r="K19" s="4"/>
      <c r="L19" s="4"/>
      <c r="M19" s="4"/>
    </row>
    <row r="20" customFormat="1" ht="20" customHeight="1" spans="1:13">
      <c r="A20" s="9">
        <v>18</v>
      </c>
      <c r="B20" s="14" t="s">
        <v>70</v>
      </c>
      <c r="C20" s="11" t="s">
        <v>34</v>
      </c>
      <c r="D20" s="20">
        <v>24</v>
      </c>
      <c r="E20" s="20">
        <v>346.12</v>
      </c>
      <c r="F20" s="12">
        <f t="shared" si="1"/>
        <v>8306.88</v>
      </c>
      <c r="G20" s="16"/>
      <c r="H20" s="4"/>
      <c r="I20" s="4"/>
      <c r="J20" s="4"/>
      <c r="K20" s="4"/>
      <c r="L20" s="4"/>
      <c r="M20" s="4"/>
    </row>
    <row r="21" customFormat="1" ht="20" customHeight="1" spans="1:13">
      <c r="A21" s="9">
        <v>19</v>
      </c>
      <c r="B21" s="14" t="s">
        <v>69</v>
      </c>
      <c r="C21" s="15" t="s">
        <v>34</v>
      </c>
      <c r="D21" s="20">
        <v>300</v>
      </c>
      <c r="E21" s="20">
        <v>46</v>
      </c>
      <c r="F21" s="12">
        <f t="shared" si="1"/>
        <v>13800</v>
      </c>
      <c r="G21" s="16"/>
      <c r="H21" s="4"/>
      <c r="I21" s="4"/>
      <c r="J21" s="4"/>
      <c r="K21" s="4"/>
      <c r="L21" s="4"/>
      <c r="M21" s="4"/>
    </row>
    <row r="22" customFormat="1" ht="20" customHeight="1" spans="1:13">
      <c r="A22" s="21" t="s">
        <v>47</v>
      </c>
      <c r="B22" s="22" t="s">
        <v>48</v>
      </c>
      <c r="C22" s="23"/>
      <c r="D22" s="24"/>
      <c r="E22" s="24"/>
      <c r="F22" s="24">
        <f>SUM(F3:F21)</f>
        <v>2611050.81</v>
      </c>
      <c r="G22" s="16"/>
      <c r="H22" s="4"/>
      <c r="I22" s="4"/>
      <c r="J22" s="4"/>
      <c r="K22" s="4"/>
      <c r="L22" s="4"/>
      <c r="M22" s="4"/>
    </row>
    <row r="23" customFormat="1" ht="20" customHeight="1" spans="1:13">
      <c r="A23" s="21" t="s">
        <v>49</v>
      </c>
      <c r="B23" s="22" t="s">
        <v>50</v>
      </c>
      <c r="C23" s="23" t="s">
        <v>51</v>
      </c>
      <c r="D23" s="24">
        <v>13</v>
      </c>
      <c r="E23" s="24"/>
      <c r="F23" s="24">
        <f>ROUND(F22*D23/100,2)</f>
        <v>339436.61</v>
      </c>
      <c r="G23" s="16"/>
      <c r="H23" s="4"/>
      <c r="I23" s="4"/>
      <c r="J23" s="4"/>
      <c r="K23" s="4"/>
      <c r="L23" s="4"/>
      <c r="M23" s="4"/>
    </row>
    <row r="24" customFormat="1" ht="20" customHeight="1" spans="1:13">
      <c r="A24" s="21" t="s">
        <v>52</v>
      </c>
      <c r="B24" s="22" t="s">
        <v>53</v>
      </c>
      <c r="C24" s="15"/>
      <c r="D24" s="20"/>
      <c r="E24" s="20"/>
      <c r="F24" s="24">
        <f>F22+F23</f>
        <v>2950487.42</v>
      </c>
      <c r="G24" s="16"/>
      <c r="H24" s="4"/>
      <c r="I24" s="4"/>
      <c r="J24" s="4"/>
      <c r="K24" s="4"/>
      <c r="L24" s="4"/>
      <c r="M24" s="4"/>
    </row>
    <row r="25" customFormat="1" ht="20" customHeight="1" spans="1:13">
      <c r="A25" s="25"/>
      <c r="B25" s="14"/>
      <c r="C25" s="15"/>
      <c r="D25" s="20"/>
      <c r="E25" s="20"/>
      <c r="F25" s="20"/>
      <c r="G25" s="16"/>
      <c r="H25" s="4"/>
      <c r="I25" s="4"/>
      <c r="J25" s="4"/>
      <c r="K25" s="4"/>
      <c r="L25" s="4"/>
      <c r="M25" s="4"/>
    </row>
    <row r="26" customFormat="1" ht="20" customHeight="1" spans="1:13">
      <c r="A26" s="25"/>
      <c r="B26" s="14"/>
      <c r="C26" s="15"/>
      <c r="D26" s="20"/>
      <c r="E26" s="20"/>
      <c r="F26" s="20"/>
      <c r="G26" s="16"/>
      <c r="H26" s="4"/>
      <c r="I26" s="4"/>
      <c r="J26" s="4"/>
      <c r="K26" s="4"/>
      <c r="L26" s="4"/>
      <c r="M26" s="4"/>
    </row>
    <row r="27" customFormat="1" ht="20" customHeight="1" spans="1:13">
      <c r="A27" s="25"/>
      <c r="B27" s="14"/>
      <c r="C27" s="15"/>
      <c r="D27" s="20"/>
      <c r="E27" s="20"/>
      <c r="F27" s="20"/>
      <c r="G27" s="16"/>
      <c r="H27" s="4"/>
      <c r="I27" s="4"/>
      <c r="J27" s="4"/>
      <c r="K27" s="4"/>
      <c r="L27" s="4"/>
      <c r="M27" s="4"/>
    </row>
    <row r="28" customFormat="1" ht="20" customHeight="1" spans="1:13">
      <c r="A28" s="25"/>
      <c r="B28" s="14"/>
      <c r="C28" s="15"/>
      <c r="D28" s="20"/>
      <c r="E28" s="20"/>
      <c r="F28" s="20"/>
      <c r="G28" s="16"/>
      <c r="H28" s="4"/>
      <c r="I28" s="4"/>
      <c r="J28" s="4"/>
      <c r="K28" s="4"/>
      <c r="L28" s="4"/>
      <c r="M28" s="4"/>
    </row>
    <row r="29" customFormat="1" ht="20" customHeight="1" spans="1:13">
      <c r="A29" s="26"/>
      <c r="B29" s="27" t="s">
        <v>54</v>
      </c>
      <c r="C29" s="28"/>
      <c r="D29" s="29"/>
      <c r="E29" s="29"/>
      <c r="F29" s="30"/>
      <c r="G29" s="31"/>
      <c r="H29" s="4"/>
      <c r="I29" s="4"/>
      <c r="J29" s="4"/>
      <c r="K29" s="4"/>
      <c r="L29" s="4"/>
      <c r="M29" s="4"/>
    </row>
    <row r="30" customFormat="1" ht="20" customHeight="1"/>
    <row r="31" customFormat="1" ht="20" customHeight="1"/>
    <row r="32" customFormat="1" ht="20" customHeight="1"/>
    <row r="33" customFormat="1" ht="18" customHeight="1"/>
    <row r="34" customFormat="1" ht="18" customHeight="1"/>
    <row r="35" customFormat="1" ht="18" customHeight="1"/>
    <row r="36" customFormat="1" ht="18" customHeight="1"/>
    <row r="37" customFormat="1" ht="18" customHeight="1"/>
    <row r="38" customFormat="1" ht="18" customHeight="1"/>
    <row r="39" customFormat="1" ht="18" customHeight="1"/>
    <row r="40" customFormat="1" ht="18" customHeight="1"/>
    <row r="41" customFormat="1" ht="18" customHeight="1"/>
    <row r="42" customFormat="1" ht="18" customHeight="1"/>
    <row r="43" customFormat="1" ht="18" customHeight="1"/>
    <row r="44" customFormat="1" ht="18" customHeight="1"/>
    <row r="45" customFormat="1" ht="18" customHeight="1"/>
    <row r="46" customFormat="1" ht="18" customHeight="1"/>
    <row r="47" customFormat="1" ht="18" customHeight="1"/>
    <row r="48" customFormat="1" ht="18" customHeight="1"/>
    <row r="49" customFormat="1" ht="18" customHeight="1"/>
    <row r="50" customFormat="1" spans="16381:16383">
      <c r="XFA50" s="1"/>
      <c r="XFB50" s="1"/>
      <c r="XFC50" s="1"/>
    </row>
    <row r="51" customFormat="1" spans="16381:16383">
      <c r="XFA51" s="1"/>
      <c r="XFB51" s="1"/>
      <c r="XFC51" s="1"/>
    </row>
    <row r="52" customFormat="1" spans="16381:16383">
      <c r="XFA52" s="1"/>
      <c r="XFB52" s="1"/>
      <c r="XFC52" s="1"/>
    </row>
    <row r="53" customFormat="1" spans="16381:16383">
      <c r="XFA53" s="1"/>
      <c r="XFB53" s="1"/>
      <c r="XFC53" s="1"/>
    </row>
    <row r="54" customFormat="1" spans="16381:16383">
      <c r="XFA54" s="1"/>
      <c r="XFB54" s="1"/>
      <c r="XFC54" s="1"/>
    </row>
    <row r="55" customFormat="1" spans="16381:16383">
      <c r="XFA55" s="1"/>
      <c r="XFB55" s="1"/>
      <c r="XFC55" s="1"/>
    </row>
    <row r="56" customFormat="1" spans="16381:16383">
      <c r="XFA56" s="1"/>
      <c r="XFB56" s="1"/>
      <c r="XFC56" s="1"/>
    </row>
    <row r="57" customFormat="1" spans="16381:16383">
      <c r="XFA57" s="1"/>
      <c r="XFB57" s="1"/>
      <c r="XFC57" s="1"/>
    </row>
    <row r="58" customFormat="1" spans="16381:16383">
      <c r="XFA58" s="1"/>
      <c r="XFB58" s="1"/>
      <c r="XFC58" s="1"/>
    </row>
    <row r="59" customFormat="1" spans="16381:16383">
      <c r="XFA59" s="1"/>
      <c r="XFB59" s="1"/>
      <c r="XFC59" s="1"/>
    </row>
    <row r="60" customFormat="1" spans="16381:16383">
      <c r="XFA60" s="1"/>
      <c r="XFB60" s="1"/>
      <c r="XFC60" s="1"/>
    </row>
    <row r="61" customFormat="1" spans="16381:16383">
      <c r="XFA61" s="1"/>
      <c r="XFB61" s="1"/>
      <c r="XFC61" s="1"/>
    </row>
    <row r="62" customFormat="1" spans="16381:16383">
      <c r="XFA62" s="1"/>
      <c r="XFB62" s="1"/>
      <c r="XFC62" s="1"/>
    </row>
    <row r="63" customFormat="1" spans="16381:16383">
      <c r="XFA63" s="1"/>
      <c r="XFB63" s="1"/>
      <c r="XFC63" s="1"/>
    </row>
    <row r="64" customFormat="1" spans="16381:16383">
      <c r="XFA64" s="1"/>
      <c r="XFB64" s="1"/>
      <c r="XFC64" s="1"/>
    </row>
    <row r="65" customFormat="1" spans="16381:16383">
      <c r="XFA65" s="1"/>
      <c r="XFB65" s="1"/>
      <c r="XFC65" s="1"/>
    </row>
    <row r="66" customFormat="1" spans="16381:16383">
      <c r="XFA66" s="1"/>
      <c r="XFB66" s="1"/>
      <c r="XFC66" s="1"/>
    </row>
    <row r="67" customFormat="1" spans="16381:16383">
      <c r="XFA67" s="1"/>
      <c r="XFB67" s="1"/>
      <c r="XFC67" s="1"/>
    </row>
    <row r="68" customFormat="1" spans="16381:16383">
      <c r="XFA68" s="1"/>
      <c r="XFB68" s="1"/>
      <c r="XFC68" s="1"/>
    </row>
    <row r="69" customFormat="1" spans="16381:16383">
      <c r="XFA69" s="1"/>
      <c r="XFB69" s="1"/>
      <c r="XFC69" s="1"/>
    </row>
    <row r="70" customFormat="1" spans="16381:16383">
      <c r="XFA70" s="1"/>
      <c r="XFB70" s="1"/>
      <c r="XFC70" s="1"/>
    </row>
    <row r="71" customFormat="1" spans="16381:16383">
      <c r="XFA71" s="1"/>
      <c r="XFB71" s="1"/>
      <c r="XFC71" s="1"/>
    </row>
    <row r="72" customFormat="1" spans="16381:16383">
      <c r="XFA72" s="1"/>
      <c r="XFB72" s="1"/>
      <c r="XFC72" s="1"/>
    </row>
    <row r="73" customFormat="1" spans="16381:16383">
      <c r="XFA73" s="1"/>
      <c r="XFB73" s="1"/>
      <c r="XFC73" s="1"/>
    </row>
    <row r="74" customFormat="1" spans="16381:16383">
      <c r="XFA74" s="1"/>
      <c r="XFB74" s="1"/>
      <c r="XFC74" s="1"/>
    </row>
    <row r="75" customFormat="1" spans="16381:16383">
      <c r="XFA75" s="1"/>
      <c r="XFB75" s="1"/>
      <c r="XFC75" s="1"/>
    </row>
    <row r="76" customFormat="1" spans="16381:16383">
      <c r="XFA76" s="1"/>
      <c r="XFB76" s="1"/>
      <c r="XFC76" s="1"/>
    </row>
    <row r="77" customFormat="1" spans="16381:16383">
      <c r="XFA77" s="1"/>
      <c r="XFB77" s="1"/>
      <c r="XFC77" s="1"/>
    </row>
    <row r="78" customFormat="1" spans="16381:16383">
      <c r="XFA78" s="1"/>
      <c r="XFB78" s="1"/>
      <c r="XFC78" s="1"/>
    </row>
    <row r="79" customFormat="1" spans="16381:16383">
      <c r="XFA79" s="1"/>
      <c r="XFB79" s="1"/>
      <c r="XFC79" s="1"/>
    </row>
    <row r="80" customFormat="1" spans="16381:16383">
      <c r="XFA80" s="1"/>
      <c r="XFB80" s="1"/>
      <c r="XFC80" s="1"/>
    </row>
    <row r="81" customFormat="1" spans="16381:16383">
      <c r="XFA81" s="1"/>
      <c r="XFB81" s="1"/>
      <c r="XFC81" s="1"/>
    </row>
    <row r="82" customFormat="1" spans="16381:16383">
      <c r="XFA82" s="1"/>
      <c r="XFB82" s="1"/>
      <c r="XFC82" s="1"/>
    </row>
  </sheetData>
  <mergeCells count="1">
    <mergeCell ref="A1:G1"/>
  </mergeCells>
  <printOptions horizontalCentered="1"/>
  <pageMargins left="0.472222222222222" right="0.472222222222222" top="0.786805555555556" bottom="0.590277777777778" header="0.5" footer="0.5"/>
  <pageSetup paperSize="9" orientation="portrait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81"/>
  <sheetViews>
    <sheetView workbookViewId="0">
      <selection activeCell="F23" sqref="F23"/>
    </sheetView>
  </sheetViews>
  <sheetFormatPr defaultColWidth="9" defaultRowHeight="13.5"/>
  <cols>
    <col min="1" max="1" width="5.63333333333333" customWidth="1"/>
    <col min="2" max="2" width="40.6333333333333" customWidth="1"/>
    <col min="3" max="3" width="5.63333333333333" customWidth="1"/>
    <col min="4" max="4" width="10.6333333333333" customWidth="1"/>
    <col min="5" max="7" width="12.6333333333333" customWidth="1"/>
    <col min="16381" max="16384" width="9" style="1"/>
  </cols>
  <sheetData>
    <row r="1" customFormat="1" ht="40" customHeight="1" spans="1:13">
      <c r="A1" s="2" t="s">
        <v>15</v>
      </c>
      <c r="B1" s="2"/>
      <c r="C1" s="2"/>
      <c r="D1" s="3"/>
      <c r="E1" s="3"/>
      <c r="F1" s="3"/>
      <c r="G1" s="2"/>
      <c r="H1" s="4"/>
      <c r="I1" s="4"/>
      <c r="J1" s="4"/>
      <c r="K1" s="4"/>
      <c r="L1" s="4"/>
      <c r="M1" s="4"/>
    </row>
    <row r="2" customFormat="1" ht="20" customHeight="1" spans="1:13">
      <c r="A2" s="5" t="s">
        <v>1</v>
      </c>
      <c r="B2" s="6" t="s">
        <v>20</v>
      </c>
      <c r="C2" s="6" t="s">
        <v>21</v>
      </c>
      <c r="D2" s="7" t="s">
        <v>22</v>
      </c>
      <c r="E2" s="7" t="s">
        <v>23</v>
      </c>
      <c r="F2" s="7" t="s">
        <v>24</v>
      </c>
      <c r="G2" s="8" t="s">
        <v>4</v>
      </c>
      <c r="H2" s="4"/>
      <c r="I2" s="4"/>
      <c r="J2" s="4"/>
      <c r="K2" s="4"/>
      <c r="L2" s="4"/>
      <c r="M2" s="4"/>
    </row>
    <row r="3" customFormat="1" ht="20" customHeight="1" spans="1:13">
      <c r="A3" s="9">
        <v>1</v>
      </c>
      <c r="B3" s="10" t="s">
        <v>25</v>
      </c>
      <c r="C3" s="11" t="s">
        <v>26</v>
      </c>
      <c r="D3" s="12">
        <f>(3562.619+100000.845+1852.375+63919.0769)/1000</f>
        <v>169.3349159</v>
      </c>
      <c r="E3" s="12">
        <v>320</v>
      </c>
      <c r="F3" s="12">
        <f t="shared" ref="F3:F10" si="0">ROUND(D3*E3,2)</f>
        <v>54187.17</v>
      </c>
      <c r="G3" s="13"/>
      <c r="H3" s="4"/>
      <c r="I3" s="4"/>
      <c r="J3" s="4"/>
      <c r="K3" s="4"/>
      <c r="L3" s="4"/>
      <c r="M3" s="4"/>
    </row>
    <row r="4" customFormat="1" ht="20" customHeight="1" spans="1:13">
      <c r="A4" s="9">
        <v>2</v>
      </c>
      <c r="B4" s="10" t="s">
        <v>27</v>
      </c>
      <c r="C4" s="11" t="s">
        <v>26</v>
      </c>
      <c r="D4" s="12">
        <f>32771.8125/1000</f>
        <v>32.7718125</v>
      </c>
      <c r="E4" s="12">
        <v>340</v>
      </c>
      <c r="F4" s="12">
        <f t="shared" si="0"/>
        <v>11142.42</v>
      </c>
      <c r="G4" s="13"/>
      <c r="H4" s="4"/>
      <c r="I4" s="4"/>
      <c r="J4" s="4"/>
      <c r="K4" s="4"/>
      <c r="L4" s="4"/>
      <c r="M4" s="4"/>
    </row>
    <row r="5" customFormat="1" ht="20" customHeight="1" spans="1:13">
      <c r="A5" s="9">
        <v>3</v>
      </c>
      <c r="B5" s="14" t="s">
        <v>28</v>
      </c>
      <c r="C5" s="11" t="s">
        <v>26</v>
      </c>
      <c r="D5" s="12">
        <f>0.9637*1.5+19.3611+6.647+265.5314+3.4561+43.9622+578.25*1.5</f>
        <v>1207.77835</v>
      </c>
      <c r="E5" s="12">
        <v>74</v>
      </c>
      <c r="F5" s="12">
        <f t="shared" si="0"/>
        <v>89375.6</v>
      </c>
      <c r="G5" s="13"/>
      <c r="H5" s="4"/>
      <c r="I5" s="4"/>
      <c r="J5" s="4"/>
      <c r="K5" s="4"/>
      <c r="L5" s="4"/>
      <c r="M5" s="4"/>
    </row>
    <row r="6" customFormat="1" ht="20" customHeight="1" spans="1:13">
      <c r="A6" s="9">
        <v>4</v>
      </c>
      <c r="B6" s="14" t="s">
        <v>29</v>
      </c>
      <c r="C6" s="11" t="s">
        <v>26</v>
      </c>
      <c r="D6" s="12">
        <f>298.35+59.67+11.742+306.6914+200.8055+110.3051+2.2973+3.5</f>
        <v>993.3613</v>
      </c>
      <c r="E6" s="12">
        <v>70</v>
      </c>
      <c r="F6" s="12">
        <f t="shared" si="0"/>
        <v>69535.29</v>
      </c>
      <c r="G6" s="13"/>
      <c r="H6" s="4"/>
      <c r="I6" s="4"/>
      <c r="J6" s="4"/>
      <c r="K6" s="4"/>
      <c r="L6" s="4"/>
      <c r="M6" s="4"/>
    </row>
    <row r="7" customFormat="1" ht="20" customHeight="1" spans="1:13">
      <c r="A7" s="9">
        <v>5</v>
      </c>
      <c r="B7" s="14" t="s">
        <v>30</v>
      </c>
      <c r="C7" s="15" t="s">
        <v>31</v>
      </c>
      <c r="D7" s="12">
        <v>500</v>
      </c>
      <c r="E7" s="12">
        <v>75</v>
      </c>
      <c r="F7" s="12">
        <f t="shared" si="0"/>
        <v>37500</v>
      </c>
      <c r="G7" s="16"/>
      <c r="H7" s="4"/>
      <c r="I7" s="4"/>
      <c r="J7" s="4"/>
      <c r="K7" s="4"/>
      <c r="L7" s="4"/>
      <c r="M7" s="4"/>
    </row>
    <row r="8" customFormat="1" ht="20" customHeight="1" spans="1:13">
      <c r="A8" s="9">
        <v>6</v>
      </c>
      <c r="B8" s="17" t="s">
        <v>32</v>
      </c>
      <c r="C8" s="18" t="s">
        <v>26</v>
      </c>
      <c r="D8" s="19">
        <v>17.14</v>
      </c>
      <c r="E8" s="19">
        <v>3300</v>
      </c>
      <c r="F8" s="19">
        <f t="shared" si="0"/>
        <v>56562</v>
      </c>
      <c r="G8" s="16"/>
      <c r="H8" s="4"/>
      <c r="I8" s="4"/>
      <c r="J8" s="4"/>
      <c r="K8" s="4"/>
      <c r="L8" s="4"/>
      <c r="M8" s="4"/>
    </row>
    <row r="9" customFormat="1" ht="20" customHeight="1" spans="1:13">
      <c r="A9" s="9">
        <v>7</v>
      </c>
      <c r="B9" s="10" t="s">
        <v>33</v>
      </c>
      <c r="C9" s="11" t="s">
        <v>34</v>
      </c>
      <c r="D9" s="12">
        <v>324</v>
      </c>
      <c r="E9" s="12">
        <v>72</v>
      </c>
      <c r="F9" s="12">
        <f t="shared" si="0"/>
        <v>23328</v>
      </c>
      <c r="G9" s="16"/>
      <c r="H9" s="4"/>
      <c r="I9" s="4"/>
      <c r="J9" s="4"/>
      <c r="K9" s="4"/>
      <c r="L9" s="4"/>
      <c r="M9" s="4"/>
    </row>
    <row r="10" customFormat="1" ht="20" customHeight="1" spans="1:13">
      <c r="A10" s="9">
        <v>8</v>
      </c>
      <c r="B10" s="14" t="s">
        <v>60</v>
      </c>
      <c r="C10" s="15" t="s">
        <v>61</v>
      </c>
      <c r="D10" s="20">
        <v>1</v>
      </c>
      <c r="E10" s="20">
        <v>85000</v>
      </c>
      <c r="F10" s="12">
        <f t="shared" si="0"/>
        <v>85000</v>
      </c>
      <c r="G10" s="16"/>
      <c r="H10" s="4"/>
      <c r="I10" s="4"/>
      <c r="J10" s="4"/>
      <c r="K10" s="4"/>
      <c r="L10" s="4"/>
      <c r="M10" s="4"/>
    </row>
    <row r="11" customFormat="1" ht="20" customHeight="1" spans="1:13">
      <c r="A11" s="9">
        <v>9</v>
      </c>
      <c r="B11" s="14" t="s">
        <v>64</v>
      </c>
      <c r="C11" s="11" t="s">
        <v>38</v>
      </c>
      <c r="D11" s="20">
        <v>30</v>
      </c>
      <c r="E11" s="20">
        <v>147</v>
      </c>
      <c r="F11" s="12">
        <f t="shared" ref="F11:F20" si="1">ROUND(D11*E11,2)</f>
        <v>4410</v>
      </c>
      <c r="G11" s="16"/>
      <c r="H11" s="4"/>
      <c r="I11" s="4"/>
      <c r="J11" s="4"/>
      <c r="K11" s="4"/>
      <c r="L11" s="4"/>
      <c r="M11" s="4"/>
    </row>
    <row r="12" customFormat="1" ht="20" customHeight="1" spans="1:13">
      <c r="A12" s="9">
        <v>10</v>
      </c>
      <c r="B12" s="14" t="s">
        <v>37</v>
      </c>
      <c r="C12" s="11" t="s">
        <v>38</v>
      </c>
      <c r="D12" s="20">
        <v>2</v>
      </c>
      <c r="E12" s="20">
        <v>560</v>
      </c>
      <c r="F12" s="12">
        <f t="shared" si="1"/>
        <v>1120</v>
      </c>
      <c r="G12" s="16"/>
      <c r="H12" s="4"/>
      <c r="I12" s="4"/>
      <c r="J12" s="4"/>
      <c r="K12" s="4"/>
      <c r="L12" s="4"/>
      <c r="M12" s="4"/>
    </row>
    <row r="13" customFormat="1" ht="20" customHeight="1" spans="1:13">
      <c r="A13" s="9">
        <v>11</v>
      </c>
      <c r="B13" s="14" t="s">
        <v>39</v>
      </c>
      <c r="C13" s="11" t="s">
        <v>38</v>
      </c>
      <c r="D13" s="20">
        <v>32</v>
      </c>
      <c r="E13" s="20">
        <v>500</v>
      </c>
      <c r="F13" s="12">
        <f t="shared" si="1"/>
        <v>16000</v>
      </c>
      <c r="G13" s="16"/>
      <c r="H13" s="4"/>
      <c r="I13" s="4"/>
      <c r="J13" s="4"/>
      <c r="K13" s="4"/>
      <c r="L13" s="4"/>
      <c r="M13" s="4"/>
    </row>
    <row r="14" customFormat="1" ht="20" customHeight="1" spans="1:13">
      <c r="A14" s="9">
        <v>12</v>
      </c>
      <c r="B14" s="14" t="s">
        <v>40</v>
      </c>
      <c r="C14" s="11" t="s">
        <v>38</v>
      </c>
      <c r="D14" s="20">
        <v>8</v>
      </c>
      <c r="E14" s="20">
        <v>268</v>
      </c>
      <c r="F14" s="12">
        <f t="shared" si="1"/>
        <v>2144</v>
      </c>
      <c r="G14" s="16"/>
      <c r="H14" s="4"/>
      <c r="I14" s="4"/>
      <c r="J14" s="4"/>
      <c r="K14" s="4"/>
      <c r="L14" s="4"/>
      <c r="M14" s="4"/>
    </row>
    <row r="15" customFormat="1" ht="20" customHeight="1" spans="1:13">
      <c r="A15" s="9">
        <v>13</v>
      </c>
      <c r="B15" s="14" t="s">
        <v>41</v>
      </c>
      <c r="C15" s="15" t="s">
        <v>31</v>
      </c>
      <c r="D15" s="20">
        <v>10.1</v>
      </c>
      <c r="E15" s="20">
        <v>930</v>
      </c>
      <c r="F15" s="12">
        <f t="shared" si="1"/>
        <v>9393</v>
      </c>
      <c r="G15" s="16"/>
      <c r="H15" s="4"/>
      <c r="I15" s="4"/>
      <c r="J15" s="4"/>
      <c r="K15" s="4"/>
      <c r="L15" s="4"/>
      <c r="M15" s="4"/>
    </row>
    <row r="16" customFormat="1" ht="20" customHeight="1" spans="1:13">
      <c r="A16" s="9">
        <v>14</v>
      </c>
      <c r="B16" s="14" t="s">
        <v>42</v>
      </c>
      <c r="C16" s="15" t="s">
        <v>31</v>
      </c>
      <c r="D16" s="20">
        <v>8.08</v>
      </c>
      <c r="E16" s="20">
        <v>1020</v>
      </c>
      <c r="F16" s="12">
        <f t="shared" si="1"/>
        <v>8241.6</v>
      </c>
      <c r="G16" s="16"/>
      <c r="H16" s="4"/>
      <c r="I16" s="4"/>
      <c r="J16" s="4"/>
      <c r="K16" s="4"/>
      <c r="L16" s="4"/>
      <c r="M16" s="4"/>
    </row>
    <row r="17" customFormat="1" ht="20" customHeight="1" spans="1:13">
      <c r="A17" s="9">
        <v>15</v>
      </c>
      <c r="B17" s="14" t="s">
        <v>45</v>
      </c>
      <c r="C17" s="11" t="s">
        <v>34</v>
      </c>
      <c r="D17" s="20">
        <v>60</v>
      </c>
      <c r="E17" s="20">
        <v>176</v>
      </c>
      <c r="F17" s="12">
        <f t="shared" si="1"/>
        <v>10560</v>
      </c>
      <c r="G17" s="16"/>
      <c r="H17" s="4"/>
      <c r="I17" s="4"/>
      <c r="J17" s="4"/>
      <c r="K17" s="4"/>
      <c r="L17" s="4"/>
      <c r="M17" s="4"/>
    </row>
    <row r="18" customFormat="1" ht="20" customHeight="1" spans="1:13">
      <c r="A18" s="9">
        <v>16</v>
      </c>
      <c r="B18" s="14" t="s">
        <v>43</v>
      </c>
      <c r="C18" s="11" t="s">
        <v>34</v>
      </c>
      <c r="D18" s="20">
        <v>396</v>
      </c>
      <c r="E18" s="20">
        <v>174.83</v>
      </c>
      <c r="F18" s="12">
        <f t="shared" si="1"/>
        <v>69232.68</v>
      </c>
      <c r="G18" s="16"/>
      <c r="H18" s="4"/>
      <c r="I18" s="4"/>
      <c r="J18" s="4"/>
      <c r="K18" s="4"/>
      <c r="L18" s="4"/>
      <c r="M18" s="4"/>
    </row>
    <row r="19" customFormat="1" ht="20" customHeight="1" spans="1:13">
      <c r="A19" s="9">
        <v>17</v>
      </c>
      <c r="B19" s="14" t="s">
        <v>44</v>
      </c>
      <c r="C19" s="11" t="s">
        <v>34</v>
      </c>
      <c r="D19" s="20">
        <v>1014</v>
      </c>
      <c r="E19" s="20">
        <v>116.74</v>
      </c>
      <c r="F19" s="12">
        <f t="shared" si="1"/>
        <v>118374.36</v>
      </c>
      <c r="G19" s="16"/>
      <c r="H19" s="4"/>
      <c r="I19" s="4"/>
      <c r="J19" s="4"/>
      <c r="K19" s="4"/>
      <c r="L19" s="4"/>
      <c r="M19" s="4"/>
    </row>
    <row r="20" customFormat="1" ht="20" customHeight="1" spans="1:13">
      <c r="A20" s="9">
        <v>18</v>
      </c>
      <c r="B20" s="14" t="s">
        <v>69</v>
      </c>
      <c r="C20" s="15" t="s">
        <v>34</v>
      </c>
      <c r="D20" s="20">
        <v>300</v>
      </c>
      <c r="E20" s="20">
        <v>50</v>
      </c>
      <c r="F20" s="12">
        <f t="shared" si="1"/>
        <v>15000</v>
      </c>
      <c r="G20" s="16"/>
      <c r="H20" s="4"/>
      <c r="I20" s="4"/>
      <c r="J20" s="4"/>
      <c r="K20" s="4"/>
      <c r="L20" s="4"/>
      <c r="M20" s="4"/>
    </row>
    <row r="21" customFormat="1" ht="20" customHeight="1" spans="1:13">
      <c r="A21" s="21" t="s">
        <v>47</v>
      </c>
      <c r="B21" s="22" t="s">
        <v>48</v>
      </c>
      <c r="C21" s="23"/>
      <c r="D21" s="24"/>
      <c r="E21" s="24"/>
      <c r="F21" s="24">
        <f>SUM(F3:F20)</f>
        <v>681106.12</v>
      </c>
      <c r="G21" s="16"/>
      <c r="H21" s="4"/>
      <c r="I21" s="4"/>
      <c r="J21" s="4"/>
      <c r="K21" s="4"/>
      <c r="L21" s="4"/>
      <c r="M21" s="4"/>
    </row>
    <row r="22" customFormat="1" ht="20" customHeight="1" spans="1:13">
      <c r="A22" s="21" t="s">
        <v>49</v>
      </c>
      <c r="B22" s="22" t="s">
        <v>50</v>
      </c>
      <c r="C22" s="23" t="s">
        <v>51</v>
      </c>
      <c r="D22" s="24">
        <v>13</v>
      </c>
      <c r="E22" s="24"/>
      <c r="F22" s="24">
        <f>ROUND(F21*D22/100,2)</f>
        <v>88543.8</v>
      </c>
      <c r="G22" s="16"/>
      <c r="H22" s="4"/>
      <c r="I22" s="4"/>
      <c r="J22" s="4"/>
      <c r="K22" s="4"/>
      <c r="L22" s="4"/>
      <c r="M22" s="4"/>
    </row>
    <row r="23" customFormat="1" ht="20" customHeight="1" spans="1:13">
      <c r="A23" s="21" t="s">
        <v>52</v>
      </c>
      <c r="B23" s="22" t="s">
        <v>53</v>
      </c>
      <c r="C23" s="15"/>
      <c r="D23" s="20"/>
      <c r="E23" s="20"/>
      <c r="F23" s="24">
        <f>F21+F22</f>
        <v>769649.92</v>
      </c>
      <c r="G23" s="16"/>
      <c r="H23" s="4"/>
      <c r="I23" s="4"/>
      <c r="J23" s="4"/>
      <c r="K23" s="4"/>
      <c r="L23" s="4"/>
      <c r="M23" s="4"/>
    </row>
    <row r="24" customFormat="1" ht="20" customHeight="1" spans="1:13">
      <c r="A24" s="25"/>
      <c r="B24" s="14"/>
      <c r="C24" s="15"/>
      <c r="D24" s="20"/>
      <c r="E24" s="20"/>
      <c r="F24" s="20"/>
      <c r="G24" s="16"/>
      <c r="H24" s="4"/>
      <c r="I24" s="4"/>
      <c r="J24" s="4"/>
      <c r="K24" s="4"/>
      <c r="L24" s="4"/>
      <c r="M24" s="4"/>
    </row>
    <row r="25" customFormat="1" ht="20" customHeight="1" spans="1:13">
      <c r="A25" s="25"/>
      <c r="B25" s="14"/>
      <c r="C25" s="15"/>
      <c r="D25" s="20"/>
      <c r="E25" s="20"/>
      <c r="F25" s="20"/>
      <c r="G25" s="16"/>
      <c r="H25" s="4"/>
      <c r="I25" s="4"/>
      <c r="J25" s="4"/>
      <c r="K25" s="4"/>
      <c r="L25" s="4"/>
      <c r="M25" s="4"/>
    </row>
    <row r="26" customFormat="1" ht="20" customHeight="1" spans="1:13">
      <c r="A26" s="25"/>
      <c r="B26" s="14"/>
      <c r="C26" s="15"/>
      <c r="D26" s="20"/>
      <c r="E26" s="20"/>
      <c r="F26" s="20"/>
      <c r="G26" s="16"/>
      <c r="H26" s="4"/>
      <c r="I26" s="4"/>
      <c r="J26" s="4"/>
      <c r="K26" s="4"/>
      <c r="L26" s="4"/>
      <c r="M26" s="4"/>
    </row>
    <row r="27" customFormat="1" ht="20" customHeight="1" spans="1:13">
      <c r="A27" s="25"/>
      <c r="B27" s="14"/>
      <c r="C27" s="15"/>
      <c r="D27" s="20"/>
      <c r="E27" s="20"/>
      <c r="F27" s="20"/>
      <c r="G27" s="16"/>
      <c r="H27" s="4"/>
      <c r="I27" s="4"/>
      <c r="J27" s="4"/>
      <c r="K27" s="4"/>
      <c r="L27" s="4"/>
      <c r="M27" s="4"/>
    </row>
    <row r="28" customFormat="1" ht="20" customHeight="1" spans="1:13">
      <c r="A28" s="26"/>
      <c r="B28" s="27" t="s">
        <v>54</v>
      </c>
      <c r="C28" s="28"/>
      <c r="D28" s="29"/>
      <c r="E28" s="29"/>
      <c r="F28" s="30"/>
      <c r="G28" s="31"/>
      <c r="H28" s="4"/>
      <c r="I28" s="4"/>
      <c r="J28" s="4"/>
      <c r="K28" s="4"/>
      <c r="L28" s="4"/>
      <c r="M28" s="4"/>
    </row>
    <row r="29" customFormat="1" ht="20" customHeight="1"/>
    <row r="30" customFormat="1" ht="20" customHeight="1"/>
    <row r="31" customFormat="1" ht="20" customHeight="1"/>
    <row r="32" customFormat="1" ht="18" customHeight="1"/>
    <row r="33" customFormat="1" ht="18" customHeight="1"/>
    <row r="34" customFormat="1" ht="18" customHeight="1"/>
    <row r="35" customFormat="1" ht="18" customHeight="1"/>
    <row r="36" customFormat="1" ht="18" customHeight="1"/>
    <row r="37" customFormat="1" ht="18" customHeight="1"/>
    <row r="38" customFormat="1" ht="18" customHeight="1"/>
    <row r="39" customFormat="1" ht="18" customHeight="1"/>
    <row r="40" customFormat="1" ht="18" customHeight="1"/>
    <row r="41" customFormat="1" ht="18" customHeight="1"/>
    <row r="42" customFormat="1" ht="18" customHeight="1"/>
    <row r="43" customFormat="1" ht="18" customHeight="1"/>
    <row r="44" customFormat="1" ht="18" customHeight="1"/>
    <row r="45" customFormat="1" ht="18" customHeight="1"/>
    <row r="46" customFormat="1" ht="18" customHeight="1"/>
    <row r="47" customFormat="1" ht="18" customHeight="1"/>
    <row r="48" customFormat="1" ht="18" customHeight="1"/>
    <row r="49" customFormat="1" spans="16381:16383">
      <c r="XFA49" s="1"/>
      <c r="XFB49" s="1"/>
      <c r="XFC49" s="1"/>
    </row>
    <row r="50" customFormat="1" spans="16381:16383">
      <c r="XFA50" s="1"/>
      <c r="XFB50" s="1"/>
      <c r="XFC50" s="1"/>
    </row>
    <row r="51" customFormat="1" spans="16381:16383">
      <c r="XFA51" s="1"/>
      <c r="XFB51" s="1"/>
      <c r="XFC51" s="1"/>
    </row>
    <row r="52" customFormat="1" spans="16381:16383">
      <c r="XFA52" s="1"/>
      <c r="XFB52" s="1"/>
      <c r="XFC52" s="1"/>
    </row>
    <row r="53" customFormat="1" spans="16381:16383">
      <c r="XFA53" s="1"/>
      <c r="XFB53" s="1"/>
      <c r="XFC53" s="1"/>
    </row>
    <row r="54" customFormat="1" spans="16381:16383">
      <c r="XFA54" s="1"/>
      <c r="XFB54" s="1"/>
      <c r="XFC54" s="1"/>
    </row>
    <row r="55" customFormat="1" spans="16381:16383">
      <c r="XFA55" s="1"/>
      <c r="XFB55" s="1"/>
      <c r="XFC55" s="1"/>
    </row>
    <row r="56" customFormat="1" spans="16381:16383">
      <c r="XFA56" s="1"/>
      <c r="XFB56" s="1"/>
      <c r="XFC56" s="1"/>
    </row>
    <row r="57" customFormat="1" spans="16381:16383">
      <c r="XFA57" s="1"/>
      <c r="XFB57" s="1"/>
      <c r="XFC57" s="1"/>
    </row>
    <row r="58" customFormat="1" spans="16381:16383">
      <c r="XFA58" s="1"/>
      <c r="XFB58" s="1"/>
      <c r="XFC58" s="1"/>
    </row>
    <row r="59" customFormat="1" spans="16381:16383">
      <c r="XFA59" s="1"/>
      <c r="XFB59" s="1"/>
      <c r="XFC59" s="1"/>
    </row>
    <row r="60" customFormat="1" spans="16381:16383">
      <c r="XFA60" s="1"/>
      <c r="XFB60" s="1"/>
      <c r="XFC60" s="1"/>
    </row>
    <row r="61" customFormat="1" spans="16381:16383">
      <c r="XFA61" s="1"/>
      <c r="XFB61" s="1"/>
      <c r="XFC61" s="1"/>
    </row>
    <row r="62" customFormat="1" spans="16381:16383">
      <c r="XFA62" s="1"/>
      <c r="XFB62" s="1"/>
      <c r="XFC62" s="1"/>
    </row>
    <row r="63" customFormat="1" spans="16381:16383">
      <c r="XFA63" s="1"/>
      <c r="XFB63" s="1"/>
      <c r="XFC63" s="1"/>
    </row>
    <row r="64" customFormat="1" spans="16381:16383">
      <c r="XFA64" s="1"/>
      <c r="XFB64" s="1"/>
      <c r="XFC64" s="1"/>
    </row>
    <row r="65" customFormat="1" spans="16381:16383">
      <c r="XFA65" s="1"/>
      <c r="XFB65" s="1"/>
      <c r="XFC65" s="1"/>
    </row>
    <row r="66" customFormat="1" spans="16381:16383">
      <c r="XFA66" s="1"/>
      <c r="XFB66" s="1"/>
      <c r="XFC66" s="1"/>
    </row>
    <row r="67" customFormat="1" spans="16381:16383">
      <c r="XFA67" s="1"/>
      <c r="XFB67" s="1"/>
      <c r="XFC67" s="1"/>
    </row>
    <row r="68" customFormat="1" spans="16381:16383">
      <c r="XFA68" s="1"/>
      <c r="XFB68" s="1"/>
      <c r="XFC68" s="1"/>
    </row>
    <row r="69" customFormat="1" spans="16381:16383">
      <c r="XFA69" s="1"/>
      <c r="XFB69" s="1"/>
      <c r="XFC69" s="1"/>
    </row>
    <row r="70" customFormat="1" spans="16381:16383">
      <c r="XFA70" s="1"/>
      <c r="XFB70" s="1"/>
      <c r="XFC70" s="1"/>
    </row>
    <row r="71" customFormat="1" spans="16381:16383">
      <c r="XFA71" s="1"/>
      <c r="XFB71" s="1"/>
      <c r="XFC71" s="1"/>
    </row>
    <row r="72" customFormat="1" spans="16381:16383">
      <c r="XFA72" s="1"/>
      <c r="XFB72" s="1"/>
      <c r="XFC72" s="1"/>
    </row>
    <row r="73" customFormat="1" spans="16381:16383">
      <c r="XFA73" s="1"/>
      <c r="XFB73" s="1"/>
      <c r="XFC73" s="1"/>
    </row>
    <row r="74" customFormat="1" spans="16381:16383">
      <c r="XFA74" s="1"/>
      <c r="XFB74" s="1"/>
      <c r="XFC74" s="1"/>
    </row>
    <row r="75" customFormat="1" spans="16381:16383">
      <c r="XFA75" s="1"/>
      <c r="XFB75" s="1"/>
      <c r="XFC75" s="1"/>
    </row>
    <row r="76" customFormat="1" spans="16381:16383">
      <c r="XFA76" s="1"/>
      <c r="XFB76" s="1"/>
      <c r="XFC76" s="1"/>
    </row>
    <row r="77" customFormat="1" spans="16381:16383">
      <c r="XFA77" s="1"/>
      <c r="XFB77" s="1"/>
      <c r="XFC77" s="1"/>
    </row>
    <row r="78" customFormat="1" spans="16381:16383">
      <c r="XFA78" s="1"/>
      <c r="XFB78" s="1"/>
      <c r="XFC78" s="1"/>
    </row>
    <row r="79" customFormat="1" spans="16381:16383">
      <c r="XFA79" s="1"/>
      <c r="XFB79" s="1"/>
      <c r="XFC79" s="1"/>
    </row>
    <row r="80" customFormat="1" spans="16381:16383">
      <c r="XFA80" s="1"/>
      <c r="XFB80" s="1"/>
      <c r="XFC80" s="1"/>
    </row>
    <row r="81" customFormat="1" spans="16381:16383">
      <c r="XFA81" s="1"/>
      <c r="XFB81" s="1"/>
      <c r="XFC81" s="1"/>
    </row>
  </sheetData>
  <mergeCells count="1">
    <mergeCell ref="A1:G1"/>
  </mergeCells>
  <printOptions horizontalCentered="1"/>
  <pageMargins left="0.472222222222222" right="0.472222222222222" top="0.786805555555556" bottom="0.590277777777778" header="0.5" footer="0.5"/>
  <pageSetup paperSize="9" orientation="portrait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80"/>
  <sheetViews>
    <sheetView workbookViewId="0">
      <selection activeCell="N21" sqref="N21"/>
    </sheetView>
  </sheetViews>
  <sheetFormatPr defaultColWidth="9" defaultRowHeight="13.5"/>
  <cols>
    <col min="1" max="1" width="5.63333333333333" customWidth="1"/>
    <col min="2" max="2" width="40.6333333333333" customWidth="1"/>
    <col min="3" max="3" width="5.63333333333333" customWidth="1"/>
    <col min="4" max="4" width="10.6333333333333" customWidth="1"/>
    <col min="5" max="7" width="12.6333333333333" customWidth="1"/>
    <col min="16381" max="16384" width="9" style="1"/>
  </cols>
  <sheetData>
    <row r="1" customFormat="1" ht="40" customHeight="1" spans="1:13">
      <c r="A1" s="2" t="s">
        <v>16</v>
      </c>
      <c r="B1" s="2"/>
      <c r="C1" s="2"/>
      <c r="D1" s="3"/>
      <c r="E1" s="3"/>
      <c r="F1" s="3"/>
      <c r="G1" s="2"/>
      <c r="H1" s="4"/>
      <c r="I1" s="4"/>
      <c r="J1" s="4"/>
      <c r="K1" s="4"/>
      <c r="L1" s="4"/>
      <c r="M1" s="4"/>
    </row>
    <row r="2" customFormat="1" ht="20" customHeight="1" spans="1:13">
      <c r="A2" s="5" t="s">
        <v>1</v>
      </c>
      <c r="B2" s="6" t="s">
        <v>20</v>
      </c>
      <c r="C2" s="6" t="s">
        <v>21</v>
      </c>
      <c r="D2" s="7" t="s">
        <v>22</v>
      </c>
      <c r="E2" s="7" t="s">
        <v>23</v>
      </c>
      <c r="F2" s="7" t="s">
        <v>24</v>
      </c>
      <c r="G2" s="8" t="s">
        <v>4</v>
      </c>
      <c r="H2" s="4"/>
      <c r="I2" s="4"/>
      <c r="J2" s="4"/>
      <c r="K2" s="4"/>
      <c r="L2" s="4"/>
      <c r="M2" s="4"/>
    </row>
    <row r="3" customFormat="1" ht="20" customHeight="1" spans="1:13">
      <c r="A3" s="9">
        <v>1</v>
      </c>
      <c r="B3" s="10" t="s">
        <v>25</v>
      </c>
      <c r="C3" s="11" t="s">
        <v>26</v>
      </c>
      <c r="D3" s="12">
        <f>(29988.144+68195.0225+6696.2449)/1000</f>
        <v>104.8794114</v>
      </c>
      <c r="E3" s="12">
        <v>320</v>
      </c>
      <c r="F3" s="12">
        <f t="shared" ref="F3:F11" si="0">ROUND(D3*E3,2)</f>
        <v>33561.41</v>
      </c>
      <c r="G3" s="13"/>
      <c r="H3" s="4"/>
      <c r="I3" s="4"/>
      <c r="J3" s="4"/>
      <c r="K3" s="4"/>
      <c r="L3" s="4"/>
      <c r="M3" s="4"/>
    </row>
    <row r="4" customFormat="1" ht="20" customHeight="1" spans="1:13">
      <c r="A4" s="9">
        <v>2</v>
      </c>
      <c r="B4" s="10" t="s">
        <v>27</v>
      </c>
      <c r="C4" s="11" t="s">
        <v>26</v>
      </c>
      <c r="D4" s="12">
        <f>204121.575/1000</f>
        <v>204.121575</v>
      </c>
      <c r="E4" s="12">
        <v>340</v>
      </c>
      <c r="F4" s="12">
        <f t="shared" si="0"/>
        <v>69401.34</v>
      </c>
      <c r="G4" s="13"/>
      <c r="H4" s="4"/>
      <c r="I4" s="4"/>
      <c r="J4" s="4"/>
      <c r="K4" s="4"/>
      <c r="L4" s="4"/>
      <c r="M4" s="4"/>
    </row>
    <row r="5" customFormat="1" ht="20" customHeight="1" spans="1:13">
      <c r="A5" s="9">
        <v>3</v>
      </c>
      <c r="B5" s="14" t="s">
        <v>28</v>
      </c>
      <c r="C5" s="11" t="s">
        <v>26</v>
      </c>
      <c r="D5" s="12">
        <f>1.9274*1.5+120.5922+48.7847+109.2391+11.6202+273.8216+1606.25*1.5</f>
        <v>2976.3239</v>
      </c>
      <c r="E5" s="12">
        <v>74</v>
      </c>
      <c r="F5" s="12">
        <f t="shared" si="0"/>
        <v>220247.97</v>
      </c>
      <c r="G5" s="13"/>
      <c r="H5" s="4"/>
      <c r="I5" s="4"/>
      <c r="J5" s="4"/>
      <c r="K5" s="4"/>
      <c r="L5" s="4"/>
      <c r="M5" s="4"/>
    </row>
    <row r="6" customFormat="1" ht="20" customHeight="1" spans="1:13">
      <c r="A6" s="9">
        <v>4</v>
      </c>
      <c r="B6" s="14" t="s">
        <v>29</v>
      </c>
      <c r="C6" s="11" t="s">
        <v>26</v>
      </c>
      <c r="D6" s="12">
        <f>656.37+91.8915+207.3497+21.3119+687.0434+4.5945+35</f>
        <v>1703.561</v>
      </c>
      <c r="E6" s="12">
        <v>70</v>
      </c>
      <c r="F6" s="12">
        <f t="shared" si="0"/>
        <v>119249.27</v>
      </c>
      <c r="G6" s="13"/>
      <c r="H6" s="4"/>
      <c r="I6" s="4"/>
      <c r="J6" s="4"/>
      <c r="K6" s="4"/>
      <c r="L6" s="4"/>
      <c r="M6" s="4"/>
    </row>
    <row r="7" customFormat="1" ht="20" customHeight="1" spans="1:13">
      <c r="A7" s="9">
        <v>5</v>
      </c>
      <c r="B7" s="14" t="s">
        <v>30</v>
      </c>
      <c r="C7" s="15" t="s">
        <v>31</v>
      </c>
      <c r="D7" s="12">
        <v>400</v>
      </c>
      <c r="E7" s="12">
        <v>75</v>
      </c>
      <c r="F7" s="12">
        <f t="shared" si="0"/>
        <v>30000</v>
      </c>
      <c r="G7" s="16"/>
      <c r="H7" s="4"/>
      <c r="I7" s="4"/>
      <c r="J7" s="4"/>
      <c r="K7" s="4"/>
      <c r="L7" s="4"/>
      <c r="M7" s="4"/>
    </row>
    <row r="8" customFormat="1" ht="20" customHeight="1" spans="1:13">
      <c r="A8" s="9">
        <v>6</v>
      </c>
      <c r="B8" s="17" t="s">
        <v>32</v>
      </c>
      <c r="C8" s="18" t="s">
        <v>26</v>
      </c>
      <c r="D8" s="19">
        <v>17.6</v>
      </c>
      <c r="E8" s="19">
        <v>3300</v>
      </c>
      <c r="F8" s="19">
        <f t="shared" si="0"/>
        <v>58080</v>
      </c>
      <c r="G8" s="16"/>
      <c r="H8" s="4"/>
      <c r="I8" s="4"/>
      <c r="J8" s="4"/>
      <c r="K8" s="4"/>
      <c r="L8" s="4"/>
      <c r="M8" s="4"/>
    </row>
    <row r="9" customFormat="1" ht="20" customHeight="1" spans="1:13">
      <c r="A9" s="9">
        <v>7</v>
      </c>
      <c r="B9" s="10" t="s">
        <v>33</v>
      </c>
      <c r="C9" s="11" t="s">
        <v>34</v>
      </c>
      <c r="D9" s="12">
        <v>1152</v>
      </c>
      <c r="E9" s="12">
        <v>72</v>
      </c>
      <c r="F9" s="12">
        <f t="shared" si="0"/>
        <v>82944</v>
      </c>
      <c r="G9" s="13"/>
      <c r="H9" s="4"/>
      <c r="I9" s="4"/>
      <c r="J9" s="4"/>
      <c r="K9" s="4"/>
      <c r="L9" s="4"/>
      <c r="M9" s="4"/>
    </row>
    <row r="10" customFormat="1" ht="20" customHeight="1" spans="1:13">
      <c r="A10" s="9">
        <v>8</v>
      </c>
      <c r="B10" s="14" t="s">
        <v>36</v>
      </c>
      <c r="C10" s="11" t="s">
        <v>34</v>
      </c>
      <c r="D10" s="12">
        <v>1212</v>
      </c>
      <c r="E10" s="12">
        <v>46</v>
      </c>
      <c r="F10" s="12">
        <f t="shared" si="0"/>
        <v>55752</v>
      </c>
      <c r="G10" s="16"/>
      <c r="H10" s="4"/>
      <c r="I10" s="4"/>
      <c r="J10" s="4"/>
      <c r="K10" s="4"/>
      <c r="L10" s="4"/>
      <c r="M10" s="4"/>
    </row>
    <row r="11" customFormat="1" ht="20" customHeight="1" spans="1:13">
      <c r="A11" s="9">
        <v>9</v>
      </c>
      <c r="B11" s="14" t="s">
        <v>60</v>
      </c>
      <c r="C11" s="15" t="s">
        <v>61</v>
      </c>
      <c r="D11" s="20">
        <v>1</v>
      </c>
      <c r="E11" s="20">
        <v>85000</v>
      </c>
      <c r="F11" s="12">
        <f t="shared" si="0"/>
        <v>85000</v>
      </c>
      <c r="G11" s="16"/>
      <c r="H11" s="4"/>
      <c r="I11" s="4"/>
      <c r="J11" s="4"/>
      <c r="K11" s="4"/>
      <c r="L11" s="4"/>
      <c r="M11" s="4"/>
    </row>
    <row r="12" customFormat="1" ht="20" customHeight="1" spans="1:13">
      <c r="A12" s="9">
        <v>10</v>
      </c>
      <c r="B12" s="14" t="s">
        <v>64</v>
      </c>
      <c r="C12" s="11" t="s">
        <v>38</v>
      </c>
      <c r="D12" s="20">
        <v>4</v>
      </c>
      <c r="E12" s="20">
        <v>147</v>
      </c>
      <c r="F12" s="12">
        <f t="shared" ref="F12:F21" si="1">ROUND(D12*E12,2)</f>
        <v>588</v>
      </c>
      <c r="G12" s="16"/>
      <c r="H12" s="4"/>
      <c r="I12" s="4"/>
      <c r="J12" s="4"/>
      <c r="K12" s="4"/>
      <c r="L12" s="4"/>
      <c r="M12" s="4"/>
    </row>
    <row r="13" customFormat="1" ht="20" customHeight="1" spans="1:13">
      <c r="A13" s="9">
        <v>11</v>
      </c>
      <c r="B13" s="14" t="s">
        <v>37</v>
      </c>
      <c r="C13" s="11" t="s">
        <v>38</v>
      </c>
      <c r="D13" s="20">
        <v>8</v>
      </c>
      <c r="E13" s="20">
        <v>560</v>
      </c>
      <c r="F13" s="12">
        <f t="shared" si="1"/>
        <v>4480</v>
      </c>
      <c r="G13" s="16"/>
      <c r="H13" s="4"/>
      <c r="I13" s="4"/>
      <c r="J13" s="4"/>
      <c r="K13" s="4"/>
      <c r="L13" s="4"/>
      <c r="M13" s="4"/>
    </row>
    <row r="14" customFormat="1" ht="20" customHeight="1" spans="1:13">
      <c r="A14" s="9">
        <v>12</v>
      </c>
      <c r="B14" s="14" t="s">
        <v>39</v>
      </c>
      <c r="C14" s="11" t="s">
        <v>38</v>
      </c>
      <c r="D14" s="20">
        <f>53-11</f>
        <v>42</v>
      </c>
      <c r="E14" s="20">
        <v>500</v>
      </c>
      <c r="F14" s="12">
        <f t="shared" si="1"/>
        <v>21000</v>
      </c>
      <c r="G14" s="16"/>
      <c r="H14" s="4"/>
      <c r="I14" s="4"/>
      <c r="J14" s="4"/>
      <c r="K14" s="4"/>
      <c r="L14" s="4"/>
      <c r="M14" s="4"/>
    </row>
    <row r="15" customFormat="1" ht="20" customHeight="1" spans="1:13">
      <c r="A15" s="9">
        <v>13</v>
      </c>
      <c r="B15" s="14" t="s">
        <v>40</v>
      </c>
      <c r="C15" s="11" t="s">
        <v>38</v>
      </c>
      <c r="D15" s="20">
        <v>11</v>
      </c>
      <c r="E15" s="20">
        <v>268</v>
      </c>
      <c r="F15" s="12">
        <f t="shared" si="1"/>
        <v>2948</v>
      </c>
      <c r="G15" s="16"/>
      <c r="H15" s="4"/>
      <c r="I15" s="4"/>
      <c r="J15" s="4"/>
      <c r="K15" s="4"/>
      <c r="L15" s="4"/>
      <c r="M15" s="4"/>
    </row>
    <row r="16" customFormat="1" ht="20" customHeight="1" spans="1:13">
      <c r="A16" s="9">
        <v>14</v>
      </c>
      <c r="B16" s="14" t="s">
        <v>41</v>
      </c>
      <c r="C16" s="15" t="s">
        <v>31</v>
      </c>
      <c r="D16" s="20">
        <v>101</v>
      </c>
      <c r="E16" s="20">
        <v>930</v>
      </c>
      <c r="F16" s="12">
        <f t="shared" si="1"/>
        <v>93930</v>
      </c>
      <c r="G16" s="16"/>
      <c r="H16" s="4"/>
      <c r="I16" s="4"/>
      <c r="J16" s="4"/>
      <c r="K16" s="4"/>
      <c r="L16" s="4"/>
      <c r="M16" s="4"/>
    </row>
    <row r="17" customFormat="1" ht="20" customHeight="1" spans="1:13">
      <c r="A17" s="9">
        <v>15</v>
      </c>
      <c r="B17" s="14" t="s">
        <v>42</v>
      </c>
      <c r="C17" s="15" t="s">
        <v>31</v>
      </c>
      <c r="D17" s="20">
        <v>80.8</v>
      </c>
      <c r="E17" s="20">
        <v>1020</v>
      </c>
      <c r="F17" s="12">
        <f t="shared" si="1"/>
        <v>82416</v>
      </c>
      <c r="G17" s="16"/>
      <c r="H17" s="4"/>
      <c r="I17" s="4"/>
      <c r="J17" s="4"/>
      <c r="K17" s="4"/>
      <c r="L17" s="4"/>
      <c r="M17" s="4"/>
    </row>
    <row r="18" customFormat="1" ht="20" customHeight="1" spans="1:13">
      <c r="A18" s="9">
        <v>16</v>
      </c>
      <c r="B18" s="14" t="s">
        <v>45</v>
      </c>
      <c r="C18" s="11" t="s">
        <v>34</v>
      </c>
      <c r="D18" s="20">
        <v>114</v>
      </c>
      <c r="E18" s="20">
        <v>176</v>
      </c>
      <c r="F18" s="12">
        <f t="shared" si="1"/>
        <v>20064</v>
      </c>
      <c r="G18" s="16"/>
      <c r="H18" s="4"/>
      <c r="I18" s="4"/>
      <c r="J18" s="4"/>
      <c r="K18" s="4"/>
      <c r="L18" s="4"/>
      <c r="M18" s="4"/>
    </row>
    <row r="19" customFormat="1" ht="20" customHeight="1" spans="1:13">
      <c r="A19" s="9">
        <v>17</v>
      </c>
      <c r="B19" s="14" t="s">
        <v>46</v>
      </c>
      <c r="C19" s="15" t="s">
        <v>34</v>
      </c>
      <c r="D19" s="20">
        <v>372</v>
      </c>
      <c r="E19" s="20">
        <v>68</v>
      </c>
      <c r="F19" s="12">
        <f t="shared" si="1"/>
        <v>25296</v>
      </c>
      <c r="G19" s="16"/>
      <c r="H19" s="4"/>
      <c r="I19" s="4"/>
      <c r="J19" s="4"/>
      <c r="K19" s="4"/>
      <c r="L19" s="4"/>
      <c r="M19" s="4"/>
    </row>
    <row r="20" customFormat="1" ht="20" customHeight="1" spans="1:13">
      <c r="A20" s="21" t="s">
        <v>47</v>
      </c>
      <c r="B20" s="22" t="s">
        <v>48</v>
      </c>
      <c r="C20" s="23"/>
      <c r="D20" s="24"/>
      <c r="E20" s="24"/>
      <c r="F20" s="24">
        <f>SUM(F3:F19)</f>
        <v>1004957.99</v>
      </c>
      <c r="G20" s="16"/>
      <c r="H20" s="4"/>
      <c r="I20" s="4"/>
      <c r="J20" s="4"/>
      <c r="K20" s="4"/>
      <c r="L20" s="4"/>
      <c r="M20" s="4"/>
    </row>
    <row r="21" customFormat="1" ht="20" customHeight="1" spans="1:13">
      <c r="A21" s="21" t="s">
        <v>49</v>
      </c>
      <c r="B21" s="22" t="s">
        <v>50</v>
      </c>
      <c r="C21" s="23" t="s">
        <v>51</v>
      </c>
      <c r="D21" s="24">
        <v>13</v>
      </c>
      <c r="E21" s="24"/>
      <c r="F21" s="24">
        <f>ROUND(F20*D21/100,2)</f>
        <v>130644.54</v>
      </c>
      <c r="G21" s="16"/>
      <c r="H21" s="4"/>
      <c r="I21" s="4"/>
      <c r="J21" s="4"/>
      <c r="K21" s="4"/>
      <c r="L21" s="4"/>
      <c r="M21" s="4"/>
    </row>
    <row r="22" customFormat="1" ht="20" customHeight="1" spans="1:13">
      <c r="A22" s="21" t="s">
        <v>52</v>
      </c>
      <c r="B22" s="22" t="s">
        <v>53</v>
      </c>
      <c r="C22" s="15"/>
      <c r="D22" s="20"/>
      <c r="E22" s="20"/>
      <c r="F22" s="24">
        <f>F20+F21</f>
        <v>1135602.53</v>
      </c>
      <c r="G22" s="16"/>
      <c r="H22" s="4"/>
      <c r="I22" s="4"/>
      <c r="J22" s="4"/>
      <c r="K22" s="4"/>
      <c r="L22" s="4"/>
      <c r="M22" s="4"/>
    </row>
    <row r="23" customFormat="1" ht="20" customHeight="1" spans="1:13">
      <c r="A23" s="25"/>
      <c r="B23" s="14"/>
      <c r="C23" s="15"/>
      <c r="D23" s="20"/>
      <c r="E23" s="20"/>
      <c r="F23" s="20"/>
      <c r="G23" s="16"/>
      <c r="H23" s="4"/>
      <c r="I23" s="4"/>
      <c r="J23" s="4"/>
      <c r="K23" s="4"/>
      <c r="L23" s="4"/>
      <c r="M23" s="4"/>
    </row>
    <row r="24" customFormat="1" ht="20" customHeight="1" spans="1:13">
      <c r="A24" s="25"/>
      <c r="B24" s="14"/>
      <c r="C24" s="15"/>
      <c r="D24" s="20"/>
      <c r="E24" s="20"/>
      <c r="F24" s="20"/>
      <c r="G24" s="16"/>
      <c r="H24" s="4"/>
      <c r="I24" s="4"/>
      <c r="J24" s="4"/>
      <c r="K24" s="4"/>
      <c r="L24" s="4"/>
      <c r="M24" s="4"/>
    </row>
    <row r="25" customFormat="1" ht="20" customHeight="1" spans="1:13">
      <c r="A25" s="25"/>
      <c r="B25" s="14"/>
      <c r="C25" s="15"/>
      <c r="D25" s="20"/>
      <c r="E25" s="20"/>
      <c r="F25" s="20"/>
      <c r="G25" s="16"/>
      <c r="H25" s="4"/>
      <c r="I25" s="4"/>
      <c r="J25" s="4"/>
      <c r="K25" s="4"/>
      <c r="L25" s="4"/>
      <c r="M25" s="4"/>
    </row>
    <row r="26" customFormat="1" ht="20" customHeight="1" spans="1:13">
      <c r="A26" s="25"/>
      <c r="B26" s="14"/>
      <c r="C26" s="15"/>
      <c r="D26" s="20"/>
      <c r="E26" s="20"/>
      <c r="F26" s="20"/>
      <c r="G26" s="16"/>
      <c r="H26" s="4"/>
      <c r="I26" s="4"/>
      <c r="J26" s="4"/>
      <c r="K26" s="4"/>
      <c r="L26" s="4"/>
      <c r="M26" s="4"/>
    </row>
    <row r="27" customFormat="1" ht="20" customHeight="1" spans="1:13">
      <c r="A27" s="26"/>
      <c r="B27" s="27" t="s">
        <v>54</v>
      </c>
      <c r="C27" s="28"/>
      <c r="D27" s="29"/>
      <c r="E27" s="29"/>
      <c r="F27" s="30"/>
      <c r="G27" s="31"/>
      <c r="H27" s="4"/>
      <c r="I27" s="4"/>
      <c r="J27" s="4"/>
      <c r="K27" s="4"/>
      <c r="L27" s="4"/>
      <c r="M27" s="4"/>
    </row>
    <row r="28" customFormat="1" ht="20" customHeight="1"/>
    <row r="29" customFormat="1" ht="20" customHeight="1"/>
    <row r="30" customFormat="1" ht="20" customHeight="1"/>
    <row r="31" customFormat="1" ht="18" customHeight="1"/>
    <row r="32" customFormat="1" ht="18" customHeight="1"/>
    <row r="33" customFormat="1" ht="18" customHeight="1"/>
    <row r="34" customFormat="1" ht="18" customHeight="1"/>
    <row r="35" customFormat="1" ht="18" customHeight="1"/>
    <row r="36" customFormat="1" ht="18" customHeight="1"/>
    <row r="37" customFormat="1" ht="18" customHeight="1"/>
    <row r="38" customFormat="1" ht="18" customHeight="1"/>
    <row r="39" customFormat="1" ht="18" customHeight="1"/>
    <row r="40" customFormat="1" ht="18" customHeight="1"/>
    <row r="41" customFormat="1" ht="18" customHeight="1"/>
    <row r="42" customFormat="1" ht="18" customHeight="1"/>
    <row r="43" customFormat="1" ht="18" customHeight="1"/>
    <row r="44" customFormat="1" ht="18" customHeight="1"/>
    <row r="45" customFormat="1" ht="18" customHeight="1"/>
    <row r="46" customFormat="1" ht="18" customHeight="1"/>
    <row r="47" customFormat="1" ht="18" customHeight="1"/>
    <row r="48" customFormat="1" spans="16381:16383">
      <c r="XFA48" s="1"/>
      <c r="XFB48" s="1"/>
      <c r="XFC48" s="1"/>
    </row>
    <row r="49" customFormat="1" spans="16381:16383">
      <c r="XFA49" s="1"/>
      <c r="XFB49" s="1"/>
      <c r="XFC49" s="1"/>
    </row>
    <row r="50" customFormat="1" spans="16381:16383">
      <c r="XFA50" s="1"/>
      <c r="XFB50" s="1"/>
      <c r="XFC50" s="1"/>
    </row>
    <row r="51" customFormat="1" spans="16381:16383">
      <c r="XFA51" s="1"/>
      <c r="XFB51" s="1"/>
      <c r="XFC51" s="1"/>
    </row>
    <row r="52" customFormat="1" spans="16381:16383">
      <c r="XFA52" s="1"/>
      <c r="XFB52" s="1"/>
      <c r="XFC52" s="1"/>
    </row>
    <row r="53" customFormat="1" spans="16381:16383">
      <c r="XFA53" s="1"/>
      <c r="XFB53" s="1"/>
      <c r="XFC53" s="1"/>
    </row>
    <row r="54" customFormat="1" spans="16381:16383">
      <c r="XFA54" s="1"/>
      <c r="XFB54" s="1"/>
      <c r="XFC54" s="1"/>
    </row>
    <row r="55" customFormat="1" spans="16381:16383">
      <c r="XFA55" s="1"/>
      <c r="XFB55" s="1"/>
      <c r="XFC55" s="1"/>
    </row>
    <row r="56" customFormat="1" spans="16381:16383">
      <c r="XFA56" s="1"/>
      <c r="XFB56" s="1"/>
      <c r="XFC56" s="1"/>
    </row>
    <row r="57" customFormat="1" spans="16381:16383">
      <c r="XFA57" s="1"/>
      <c r="XFB57" s="1"/>
      <c r="XFC57" s="1"/>
    </row>
    <row r="58" customFormat="1" spans="16381:16383">
      <c r="XFA58" s="1"/>
      <c r="XFB58" s="1"/>
      <c r="XFC58" s="1"/>
    </row>
    <row r="59" customFormat="1" spans="16381:16383">
      <c r="XFA59" s="1"/>
      <c r="XFB59" s="1"/>
      <c r="XFC59" s="1"/>
    </row>
    <row r="60" customFormat="1" spans="16381:16383">
      <c r="XFA60" s="1"/>
      <c r="XFB60" s="1"/>
      <c r="XFC60" s="1"/>
    </row>
    <row r="61" customFormat="1" spans="16381:16383">
      <c r="XFA61" s="1"/>
      <c r="XFB61" s="1"/>
      <c r="XFC61" s="1"/>
    </row>
    <row r="62" customFormat="1" spans="16381:16383">
      <c r="XFA62" s="1"/>
      <c r="XFB62" s="1"/>
      <c r="XFC62" s="1"/>
    </row>
    <row r="63" customFormat="1" spans="16381:16383">
      <c r="XFA63" s="1"/>
      <c r="XFB63" s="1"/>
      <c r="XFC63" s="1"/>
    </row>
    <row r="64" customFormat="1" spans="16381:16383">
      <c r="XFA64" s="1"/>
      <c r="XFB64" s="1"/>
      <c r="XFC64" s="1"/>
    </row>
    <row r="65" customFormat="1" spans="16381:16383">
      <c r="XFA65" s="1"/>
      <c r="XFB65" s="1"/>
      <c r="XFC65" s="1"/>
    </row>
    <row r="66" customFormat="1" spans="16381:16383">
      <c r="XFA66" s="1"/>
      <c r="XFB66" s="1"/>
      <c r="XFC66" s="1"/>
    </row>
    <row r="67" customFormat="1" spans="16381:16383">
      <c r="XFA67" s="1"/>
      <c r="XFB67" s="1"/>
      <c r="XFC67" s="1"/>
    </row>
    <row r="68" customFormat="1" spans="16381:16383">
      <c r="XFA68" s="1"/>
      <c r="XFB68" s="1"/>
      <c r="XFC68" s="1"/>
    </row>
    <row r="69" customFormat="1" spans="16381:16383">
      <c r="XFA69" s="1"/>
      <c r="XFB69" s="1"/>
      <c r="XFC69" s="1"/>
    </row>
    <row r="70" customFormat="1" spans="16381:16383">
      <c r="XFA70" s="1"/>
      <c r="XFB70" s="1"/>
      <c r="XFC70" s="1"/>
    </row>
    <row r="71" customFormat="1" spans="16381:16383">
      <c r="XFA71" s="1"/>
      <c r="XFB71" s="1"/>
      <c r="XFC71" s="1"/>
    </row>
    <row r="72" customFormat="1" spans="16381:16383">
      <c r="XFA72" s="1"/>
      <c r="XFB72" s="1"/>
      <c r="XFC72" s="1"/>
    </row>
    <row r="73" customFormat="1" spans="16381:16383">
      <c r="XFA73" s="1"/>
      <c r="XFB73" s="1"/>
      <c r="XFC73" s="1"/>
    </row>
    <row r="74" customFormat="1" spans="16381:16383">
      <c r="XFA74" s="1"/>
      <c r="XFB74" s="1"/>
      <c r="XFC74" s="1"/>
    </row>
    <row r="75" customFormat="1" spans="16381:16383">
      <c r="XFA75" s="1"/>
      <c r="XFB75" s="1"/>
      <c r="XFC75" s="1"/>
    </row>
    <row r="76" customFormat="1" spans="16381:16383">
      <c r="XFA76" s="1"/>
      <c r="XFB76" s="1"/>
      <c r="XFC76" s="1"/>
    </row>
    <row r="77" customFormat="1" spans="16381:16383">
      <c r="XFA77" s="1"/>
      <c r="XFB77" s="1"/>
      <c r="XFC77" s="1"/>
    </row>
    <row r="78" customFormat="1" spans="16381:16383">
      <c r="XFA78" s="1"/>
      <c r="XFB78" s="1"/>
      <c r="XFC78" s="1"/>
    </row>
    <row r="79" customFormat="1" spans="16381:16383">
      <c r="XFA79" s="1"/>
      <c r="XFB79" s="1"/>
      <c r="XFC79" s="1"/>
    </row>
    <row r="80" customFormat="1" spans="16381:16383">
      <c r="XFA80" s="1"/>
      <c r="XFB80" s="1"/>
      <c r="XFC80" s="1"/>
    </row>
  </sheetData>
  <mergeCells count="1">
    <mergeCell ref="A1:G1"/>
  </mergeCells>
  <printOptions horizontalCentered="1"/>
  <pageMargins left="0.472222222222222" right="0.472222222222222" top="0.786805555555556" bottom="0.590277777777778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8"/>
  <sheetViews>
    <sheetView workbookViewId="0">
      <selection activeCell="E7" sqref="E7"/>
    </sheetView>
  </sheetViews>
  <sheetFormatPr defaultColWidth="9" defaultRowHeight="13.5"/>
  <cols>
    <col min="1" max="1" width="5.63333333333333" customWidth="1"/>
    <col min="2" max="2" width="40.6333333333333" customWidth="1"/>
    <col min="3" max="3" width="5.63333333333333" customWidth="1"/>
    <col min="4" max="4" width="10.6333333333333" customWidth="1"/>
    <col min="5" max="7" width="12.6333333333333" customWidth="1"/>
    <col min="16381" max="16384" width="9" style="1"/>
  </cols>
  <sheetData>
    <row r="1" customFormat="1" ht="40" customHeight="1" spans="1:13">
      <c r="A1" s="2" t="s">
        <v>19</v>
      </c>
      <c r="B1" s="2"/>
      <c r="C1" s="2"/>
      <c r="D1" s="3"/>
      <c r="E1" s="3"/>
      <c r="F1" s="3"/>
      <c r="G1" s="2"/>
      <c r="H1" s="4"/>
      <c r="I1" s="4"/>
      <c r="J1" s="4"/>
      <c r="K1" s="4"/>
      <c r="L1" s="4"/>
      <c r="M1" s="4"/>
    </row>
    <row r="2" customFormat="1" ht="20" customHeight="1" spans="1:13">
      <c r="A2" s="5" t="s">
        <v>1</v>
      </c>
      <c r="B2" s="6" t="s">
        <v>20</v>
      </c>
      <c r="C2" s="6" t="s">
        <v>21</v>
      </c>
      <c r="D2" s="7" t="s">
        <v>22</v>
      </c>
      <c r="E2" s="7" t="s">
        <v>23</v>
      </c>
      <c r="F2" s="7" t="s">
        <v>24</v>
      </c>
      <c r="G2" s="8" t="s">
        <v>4</v>
      </c>
      <c r="H2" s="4"/>
      <c r="I2" s="4"/>
      <c r="J2" s="4"/>
      <c r="K2" s="4"/>
      <c r="L2" s="4"/>
      <c r="M2" s="4"/>
    </row>
    <row r="3" customFormat="1" ht="20" customHeight="1" spans="1:13">
      <c r="A3" s="9">
        <v>1</v>
      </c>
      <c r="B3" s="10" t="s">
        <v>25</v>
      </c>
      <c r="C3" s="11" t="s">
        <v>26</v>
      </c>
      <c r="D3" s="12">
        <v>116.59</v>
      </c>
      <c r="E3" s="12">
        <v>310</v>
      </c>
      <c r="F3" s="12">
        <f>ROUND(D3*E3,2)</f>
        <v>36142.9</v>
      </c>
      <c r="G3" s="13"/>
      <c r="H3" s="4"/>
      <c r="I3" s="4"/>
      <c r="J3" s="4"/>
      <c r="K3" s="4"/>
      <c r="L3" s="4"/>
      <c r="M3" s="4"/>
    </row>
    <row r="4" customFormat="1" ht="20" customHeight="1" spans="1:13">
      <c r="A4" s="9">
        <v>2</v>
      </c>
      <c r="B4" s="10" t="s">
        <v>27</v>
      </c>
      <c r="C4" s="11" t="s">
        <v>26</v>
      </c>
      <c r="D4" s="12">
        <v>79.59</v>
      </c>
      <c r="E4" s="12">
        <v>330</v>
      </c>
      <c r="F4" s="12">
        <f>ROUND(D4*E4,2)</f>
        <v>26264.7</v>
      </c>
      <c r="G4" s="13"/>
      <c r="H4" s="4"/>
      <c r="I4" s="4"/>
      <c r="J4" s="4"/>
      <c r="K4" s="4"/>
      <c r="L4" s="4"/>
      <c r="M4" s="4"/>
    </row>
    <row r="5" customFormat="1" ht="20" customHeight="1" spans="1:13">
      <c r="A5" s="9">
        <v>3</v>
      </c>
      <c r="B5" s="14" t="s">
        <v>28</v>
      </c>
      <c r="C5" s="11" t="s">
        <v>26</v>
      </c>
      <c r="D5" s="12">
        <f>47.02+191.47+106.77+1156.5*1.5</f>
        <v>2080.01</v>
      </c>
      <c r="E5" s="12">
        <v>69</v>
      </c>
      <c r="F5" s="12">
        <f>ROUND(D5*E5,2)</f>
        <v>143520.69</v>
      </c>
      <c r="G5" s="13"/>
      <c r="H5" s="4"/>
      <c r="I5" s="4"/>
      <c r="J5" s="4"/>
      <c r="K5" s="4"/>
      <c r="L5" s="4"/>
      <c r="M5" s="4"/>
    </row>
    <row r="6" customFormat="1" ht="20" customHeight="1" spans="1:13">
      <c r="A6" s="9">
        <v>4</v>
      </c>
      <c r="B6" s="14" t="s">
        <v>29</v>
      </c>
      <c r="C6" s="11" t="s">
        <v>26</v>
      </c>
      <c r="D6" s="12">
        <f>343.1+359.05+267.88+4.59</f>
        <v>974.62</v>
      </c>
      <c r="E6" s="12">
        <v>65</v>
      </c>
      <c r="F6" s="12">
        <f>ROUND(D6*E6,2)</f>
        <v>63350.3</v>
      </c>
      <c r="G6" s="13"/>
      <c r="H6" s="4"/>
      <c r="I6" s="33"/>
      <c r="J6" s="32"/>
      <c r="K6" s="4"/>
      <c r="L6" s="4"/>
      <c r="M6" s="4"/>
    </row>
    <row r="7" customFormat="1" ht="20" customHeight="1" spans="1:13">
      <c r="A7" s="9">
        <v>5</v>
      </c>
      <c r="B7" s="14" t="s">
        <v>30</v>
      </c>
      <c r="C7" s="15" t="s">
        <v>31</v>
      </c>
      <c r="D7" s="12">
        <v>500</v>
      </c>
      <c r="E7" s="12">
        <v>66.8</v>
      </c>
      <c r="F7" s="12">
        <f>ROUND(D7*E7,2)</f>
        <v>33400</v>
      </c>
      <c r="G7" s="13"/>
      <c r="H7" s="4"/>
      <c r="I7" s="33"/>
      <c r="J7" s="32"/>
      <c r="K7" s="4"/>
      <c r="L7" s="4"/>
      <c r="M7" s="4"/>
    </row>
    <row r="8" customFormat="1" ht="20" customHeight="1" spans="1:13">
      <c r="A8" s="9">
        <v>6</v>
      </c>
      <c r="B8" s="14" t="s">
        <v>32</v>
      </c>
      <c r="C8" s="11" t="s">
        <v>26</v>
      </c>
      <c r="D8" s="12">
        <v>12.21</v>
      </c>
      <c r="E8" s="12">
        <v>3200</v>
      </c>
      <c r="F8" s="12">
        <f t="shared" ref="F8:F20" si="0">ROUND(D8*E8,2)</f>
        <v>39072</v>
      </c>
      <c r="G8" s="13"/>
      <c r="H8" s="4"/>
      <c r="I8" s="33"/>
      <c r="J8" s="32"/>
      <c r="K8" s="4"/>
      <c r="L8" s="4"/>
      <c r="M8" s="4"/>
    </row>
    <row r="9" customFormat="1" ht="20" customHeight="1" spans="1:13">
      <c r="A9" s="9">
        <v>7</v>
      </c>
      <c r="B9" s="10" t="s">
        <v>33</v>
      </c>
      <c r="C9" s="11" t="s">
        <v>34</v>
      </c>
      <c r="D9" s="12">
        <v>630</v>
      </c>
      <c r="E9" s="12">
        <v>70</v>
      </c>
      <c r="F9" s="12">
        <f t="shared" si="0"/>
        <v>44100</v>
      </c>
      <c r="G9" s="13"/>
      <c r="H9" s="4"/>
      <c r="I9" s="33"/>
      <c r="J9" s="32"/>
      <c r="K9" s="4"/>
      <c r="L9" s="4"/>
      <c r="M9" s="4"/>
    </row>
    <row r="10" customFormat="1" ht="20" customHeight="1" spans="1:13">
      <c r="A10" s="9">
        <v>8</v>
      </c>
      <c r="B10" s="10" t="s">
        <v>35</v>
      </c>
      <c r="C10" s="11" t="s">
        <v>34</v>
      </c>
      <c r="D10" s="12">
        <v>84</v>
      </c>
      <c r="E10" s="12">
        <v>148</v>
      </c>
      <c r="F10" s="12">
        <f t="shared" si="0"/>
        <v>12432</v>
      </c>
      <c r="G10" s="13"/>
      <c r="H10" s="4"/>
      <c r="I10" s="33"/>
      <c r="J10" s="32"/>
      <c r="K10" s="4"/>
      <c r="L10" s="4"/>
      <c r="M10" s="4"/>
    </row>
    <row r="11" customFormat="1" ht="20" customHeight="1" spans="1:13">
      <c r="A11" s="9">
        <v>9</v>
      </c>
      <c r="B11" s="14" t="s">
        <v>36</v>
      </c>
      <c r="C11" s="11" t="s">
        <v>34</v>
      </c>
      <c r="D11" s="20">
        <v>456</v>
      </c>
      <c r="E11" s="20">
        <v>44</v>
      </c>
      <c r="F11" s="12">
        <f t="shared" si="0"/>
        <v>20064</v>
      </c>
      <c r="G11" s="16"/>
      <c r="H11" s="4"/>
      <c r="I11" s="33"/>
      <c r="J11" s="32"/>
      <c r="K11" s="4"/>
      <c r="L11" s="4"/>
      <c r="M11" s="4"/>
    </row>
    <row r="12" customFormat="1" ht="20" customHeight="1" spans="1:13">
      <c r="A12" s="9">
        <v>10</v>
      </c>
      <c r="B12" s="14" t="s">
        <v>37</v>
      </c>
      <c r="C12" s="11" t="s">
        <v>38</v>
      </c>
      <c r="D12" s="20">
        <v>5</v>
      </c>
      <c r="E12" s="20">
        <v>555</v>
      </c>
      <c r="F12" s="12">
        <f t="shared" si="0"/>
        <v>2775</v>
      </c>
      <c r="G12" s="16"/>
      <c r="H12" s="4"/>
      <c r="I12" s="33"/>
      <c r="J12" s="32"/>
      <c r="K12" s="4"/>
      <c r="L12" s="4"/>
      <c r="M12" s="4"/>
    </row>
    <row r="13" customFormat="1" ht="20" customHeight="1" spans="1:13">
      <c r="A13" s="9">
        <v>11</v>
      </c>
      <c r="B13" s="14" t="s">
        <v>39</v>
      </c>
      <c r="C13" s="11" t="s">
        <v>38</v>
      </c>
      <c r="D13" s="20">
        <v>33</v>
      </c>
      <c r="E13" s="20">
        <v>495</v>
      </c>
      <c r="F13" s="12">
        <f t="shared" si="0"/>
        <v>16335</v>
      </c>
      <c r="G13" s="16"/>
      <c r="H13" s="4"/>
      <c r="I13" s="33"/>
      <c r="J13" s="32"/>
      <c r="K13" s="4"/>
      <c r="L13" s="4"/>
      <c r="M13" s="4"/>
    </row>
    <row r="14" customFormat="1" ht="20" customHeight="1" spans="1:13">
      <c r="A14" s="9">
        <v>12</v>
      </c>
      <c r="B14" s="14" t="s">
        <v>40</v>
      </c>
      <c r="C14" s="11" t="s">
        <v>38</v>
      </c>
      <c r="D14" s="20">
        <v>9</v>
      </c>
      <c r="E14" s="20">
        <v>263</v>
      </c>
      <c r="F14" s="12">
        <f t="shared" si="0"/>
        <v>2367</v>
      </c>
      <c r="G14" s="16"/>
      <c r="H14" s="4"/>
      <c r="I14" s="33"/>
      <c r="J14" s="32"/>
      <c r="K14" s="4"/>
      <c r="L14" s="4"/>
      <c r="M14" s="4"/>
    </row>
    <row r="15" customFormat="1" ht="20" customHeight="1" spans="1:13">
      <c r="A15" s="9">
        <v>13</v>
      </c>
      <c r="B15" s="14" t="s">
        <v>41</v>
      </c>
      <c r="C15" s="11" t="s">
        <v>31</v>
      </c>
      <c r="D15" s="20">
        <v>12.63</v>
      </c>
      <c r="E15" s="20">
        <v>915</v>
      </c>
      <c r="F15" s="12">
        <f t="shared" si="0"/>
        <v>11556.45</v>
      </c>
      <c r="G15" s="16"/>
      <c r="H15" s="4"/>
      <c r="I15" s="33"/>
      <c r="J15" s="32"/>
      <c r="K15" s="4"/>
      <c r="L15" s="4"/>
      <c r="M15" s="4"/>
    </row>
    <row r="16" customFormat="1" ht="20" customHeight="1" spans="1:13">
      <c r="A16" s="9">
        <v>14</v>
      </c>
      <c r="B16" s="14" t="s">
        <v>42</v>
      </c>
      <c r="C16" s="15" t="s">
        <v>31</v>
      </c>
      <c r="D16" s="20">
        <v>10.1</v>
      </c>
      <c r="E16" s="20">
        <v>995</v>
      </c>
      <c r="F16" s="12">
        <f t="shared" si="0"/>
        <v>10049.5</v>
      </c>
      <c r="G16" s="16"/>
      <c r="H16" s="4"/>
      <c r="I16" s="33"/>
      <c r="J16" s="33"/>
      <c r="K16" s="4"/>
      <c r="L16" s="4"/>
      <c r="M16" s="4"/>
    </row>
    <row r="17" customFormat="1" ht="20" customHeight="1" spans="1:13">
      <c r="A17" s="9">
        <v>15</v>
      </c>
      <c r="B17" s="14" t="s">
        <v>43</v>
      </c>
      <c r="C17" s="11" t="s">
        <v>34</v>
      </c>
      <c r="D17" s="20">
        <v>84</v>
      </c>
      <c r="E17" s="20">
        <v>166.89</v>
      </c>
      <c r="F17" s="12">
        <f t="shared" si="0"/>
        <v>14018.76</v>
      </c>
      <c r="G17" s="16"/>
      <c r="H17" s="4"/>
      <c r="I17" s="4"/>
      <c r="J17" s="4"/>
      <c r="K17" s="4"/>
      <c r="L17" s="4"/>
      <c r="M17" s="4"/>
    </row>
    <row r="18" customFormat="1" ht="20" customHeight="1" spans="1:13">
      <c r="A18" s="9">
        <v>16</v>
      </c>
      <c r="B18" s="14" t="s">
        <v>44</v>
      </c>
      <c r="C18" s="11" t="s">
        <v>34</v>
      </c>
      <c r="D18" s="20">
        <v>24</v>
      </c>
      <c r="E18" s="20">
        <v>111.44</v>
      </c>
      <c r="F18" s="12">
        <f t="shared" si="0"/>
        <v>2674.56</v>
      </c>
      <c r="G18" s="16"/>
      <c r="H18" s="4"/>
      <c r="I18" s="4"/>
      <c r="J18" s="4"/>
      <c r="K18" s="4"/>
      <c r="L18" s="4"/>
      <c r="M18" s="4"/>
    </row>
    <row r="19" customFormat="1" ht="20" customHeight="1" spans="1:13">
      <c r="A19" s="9">
        <v>17</v>
      </c>
      <c r="B19" s="14" t="s">
        <v>45</v>
      </c>
      <c r="C19" s="11" t="s">
        <v>34</v>
      </c>
      <c r="D19" s="20">
        <v>150</v>
      </c>
      <c r="E19" s="20">
        <v>167</v>
      </c>
      <c r="F19" s="12">
        <f t="shared" si="0"/>
        <v>25050</v>
      </c>
      <c r="G19" s="16"/>
      <c r="H19" s="4"/>
      <c r="I19" s="4"/>
      <c r="J19" s="4"/>
      <c r="K19" s="4"/>
      <c r="L19" s="4"/>
      <c r="M19" s="4"/>
    </row>
    <row r="20" customFormat="1" ht="20" customHeight="1" spans="1:13">
      <c r="A20" s="9">
        <v>18</v>
      </c>
      <c r="B20" s="14" t="s">
        <v>46</v>
      </c>
      <c r="C20" s="11" t="s">
        <v>34</v>
      </c>
      <c r="D20" s="20">
        <v>414</v>
      </c>
      <c r="E20" s="20">
        <v>65</v>
      </c>
      <c r="F20" s="12">
        <f t="shared" si="0"/>
        <v>26910</v>
      </c>
      <c r="G20" s="16"/>
      <c r="H20" s="4"/>
      <c r="I20" s="4"/>
      <c r="J20" s="4"/>
      <c r="K20" s="4"/>
      <c r="L20" s="4"/>
      <c r="M20" s="4"/>
    </row>
    <row r="21" customFormat="1" ht="20" customHeight="1" spans="1:13">
      <c r="A21" s="21" t="s">
        <v>47</v>
      </c>
      <c r="B21" s="22" t="s">
        <v>48</v>
      </c>
      <c r="C21" s="23"/>
      <c r="D21" s="24"/>
      <c r="E21" s="24"/>
      <c r="F21" s="24">
        <f>SUM(F3:F20)</f>
        <v>530082.86</v>
      </c>
      <c r="G21" s="16"/>
      <c r="H21" s="4"/>
      <c r="I21" s="4"/>
      <c r="J21" s="4"/>
      <c r="K21" s="4"/>
      <c r="L21" s="4"/>
      <c r="M21" s="4"/>
    </row>
    <row r="22" customFormat="1" ht="20" customHeight="1" spans="1:13">
      <c r="A22" s="21" t="s">
        <v>49</v>
      </c>
      <c r="B22" s="22" t="s">
        <v>50</v>
      </c>
      <c r="C22" s="23" t="s">
        <v>51</v>
      </c>
      <c r="D22" s="24">
        <v>13</v>
      </c>
      <c r="E22" s="24"/>
      <c r="F22" s="24">
        <f>ROUND(F21*D22/100,2)</f>
        <v>68910.77</v>
      </c>
      <c r="G22" s="16"/>
      <c r="H22" s="4"/>
      <c r="I22" s="4"/>
      <c r="J22" s="4"/>
      <c r="K22" s="4"/>
      <c r="L22" s="4"/>
      <c r="M22" s="4"/>
    </row>
    <row r="23" customFormat="1" ht="20" customHeight="1" spans="1:13">
      <c r="A23" s="21" t="s">
        <v>52</v>
      </c>
      <c r="B23" s="22" t="s">
        <v>53</v>
      </c>
      <c r="C23" s="15"/>
      <c r="D23" s="20"/>
      <c r="E23" s="20"/>
      <c r="F23" s="24">
        <f>F21+F22</f>
        <v>598993.63</v>
      </c>
      <c r="G23" s="16"/>
      <c r="H23" s="4"/>
      <c r="I23" s="4"/>
      <c r="J23" s="4"/>
      <c r="K23" s="4"/>
      <c r="L23" s="4"/>
      <c r="M23" s="4"/>
    </row>
    <row r="24" customFormat="1" ht="20" customHeight="1" spans="1:13">
      <c r="A24" s="25"/>
      <c r="B24" s="14"/>
      <c r="C24" s="15"/>
      <c r="D24" s="20"/>
      <c r="E24" s="20"/>
      <c r="F24" s="20"/>
      <c r="G24" s="16"/>
      <c r="H24" s="4"/>
      <c r="I24" s="4"/>
      <c r="J24" s="4"/>
      <c r="K24" s="4"/>
      <c r="L24" s="4"/>
      <c r="M24" s="4"/>
    </row>
    <row r="25" customFormat="1" ht="20" customHeight="1" spans="1:13">
      <c r="A25" s="25"/>
      <c r="B25" s="14"/>
      <c r="C25" s="15"/>
      <c r="D25" s="20"/>
      <c r="E25" s="20"/>
      <c r="F25" s="20"/>
      <c r="G25" s="16"/>
      <c r="H25" s="4"/>
      <c r="I25" s="4"/>
      <c r="J25" s="4"/>
      <c r="K25" s="4"/>
      <c r="L25" s="4"/>
      <c r="M25" s="4"/>
    </row>
    <row r="26" customFormat="1" ht="20" customHeight="1" spans="1:13">
      <c r="A26" s="25"/>
      <c r="B26" s="14"/>
      <c r="C26" s="15"/>
      <c r="D26" s="20"/>
      <c r="E26" s="20"/>
      <c r="F26" s="20"/>
      <c r="G26" s="16"/>
      <c r="H26" s="4"/>
      <c r="I26" s="4"/>
      <c r="J26" s="4"/>
      <c r="K26" s="4"/>
      <c r="L26" s="4"/>
      <c r="M26" s="4"/>
    </row>
    <row r="27" customFormat="1" ht="20" customHeight="1" spans="1:13">
      <c r="A27" s="25"/>
      <c r="B27" s="14"/>
      <c r="C27" s="15"/>
      <c r="D27" s="20"/>
      <c r="E27" s="20"/>
      <c r="F27" s="20"/>
      <c r="G27" s="16"/>
      <c r="H27" s="4"/>
      <c r="I27" s="4"/>
      <c r="J27" s="4"/>
      <c r="K27" s="4"/>
      <c r="L27" s="4"/>
      <c r="M27" s="4"/>
    </row>
    <row r="28" customFormat="1" ht="20" customHeight="1" spans="1:13">
      <c r="A28" s="26"/>
      <c r="B28" s="27" t="s">
        <v>54</v>
      </c>
      <c r="C28" s="28"/>
      <c r="D28" s="29"/>
      <c r="E28" s="29"/>
      <c r="F28" s="30"/>
      <c r="G28" s="31"/>
      <c r="H28" s="4"/>
      <c r="I28" s="4"/>
      <c r="J28" s="4"/>
      <c r="K28" s="4"/>
      <c r="L28" s="4"/>
      <c r="M28" s="4"/>
    </row>
    <row r="29" customFormat="1" ht="20" customHeight="1"/>
    <row r="30" customFormat="1" ht="20" customHeight="1"/>
    <row r="31" customFormat="1" ht="20" customHeight="1"/>
    <row r="32" customFormat="1" ht="18" customHeight="1"/>
    <row r="33" customFormat="1" ht="18" customHeight="1"/>
    <row r="34" customFormat="1" ht="18" customHeight="1"/>
    <row r="35" customFormat="1" ht="18" customHeight="1"/>
    <row r="36" customFormat="1" ht="18" customHeight="1"/>
    <row r="37" customFormat="1" ht="18" customHeight="1"/>
    <row r="38" customFormat="1" ht="18" customHeight="1"/>
    <row r="39" customFormat="1" ht="18" customHeight="1"/>
    <row r="40" customFormat="1" ht="18" customHeight="1"/>
    <row r="41" customFormat="1" ht="18" customHeight="1"/>
    <row r="42" customFormat="1" ht="18" customHeight="1"/>
    <row r="43" customFormat="1" ht="18" customHeight="1"/>
    <row r="44" customFormat="1" ht="18" customHeight="1"/>
    <row r="45" customFormat="1" ht="18" customHeight="1"/>
    <row r="46" customFormat="1" ht="18" customHeight="1"/>
    <row r="47" customFormat="1" ht="18" customHeight="1"/>
    <row r="48" customFormat="1" ht="18" customHeight="1"/>
  </sheetData>
  <mergeCells count="1">
    <mergeCell ref="A1:G1"/>
  </mergeCells>
  <printOptions horizontalCentered="1"/>
  <pageMargins left="0.472222222222222" right="0.472222222222222" top="0.786805555555556" bottom="0.590277777777778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0"/>
  <sheetViews>
    <sheetView workbookViewId="0">
      <selection activeCell="E7" sqref="E7"/>
    </sheetView>
  </sheetViews>
  <sheetFormatPr defaultColWidth="9" defaultRowHeight="13.5"/>
  <cols>
    <col min="1" max="1" width="5.63333333333333" customWidth="1"/>
    <col min="2" max="2" width="40.6333333333333" customWidth="1"/>
    <col min="3" max="3" width="5.63333333333333" customWidth="1"/>
    <col min="4" max="4" width="10.6333333333333" customWidth="1"/>
    <col min="5" max="7" width="12.6333333333333" customWidth="1"/>
    <col min="16381" max="16384" width="9" style="1"/>
  </cols>
  <sheetData>
    <row r="1" customFormat="1" ht="40" customHeight="1" spans="1:13">
      <c r="A1" s="2" t="s">
        <v>55</v>
      </c>
      <c r="B1" s="2"/>
      <c r="C1" s="2"/>
      <c r="D1" s="3"/>
      <c r="E1" s="3"/>
      <c r="F1" s="3"/>
      <c r="G1" s="2"/>
      <c r="H1" s="4"/>
      <c r="I1" s="4"/>
      <c r="J1" s="4"/>
      <c r="K1" s="4"/>
      <c r="L1" s="4"/>
      <c r="M1" s="4"/>
    </row>
    <row r="2" customFormat="1" ht="20" customHeight="1" spans="1:13">
      <c r="A2" s="5" t="s">
        <v>1</v>
      </c>
      <c r="B2" s="6" t="s">
        <v>20</v>
      </c>
      <c r="C2" s="6" t="s">
        <v>21</v>
      </c>
      <c r="D2" s="7" t="s">
        <v>22</v>
      </c>
      <c r="E2" s="7" t="s">
        <v>23</v>
      </c>
      <c r="F2" s="7" t="s">
        <v>24</v>
      </c>
      <c r="G2" s="8" t="s">
        <v>4</v>
      </c>
      <c r="H2" s="4"/>
      <c r="I2" s="4"/>
      <c r="J2" s="4"/>
      <c r="K2" s="4"/>
      <c r="L2" s="4"/>
      <c r="M2" s="4"/>
    </row>
    <row r="3" customFormat="1" ht="20" customHeight="1" spans="1:13">
      <c r="A3" s="9">
        <v>1</v>
      </c>
      <c r="B3" s="10" t="s">
        <v>25</v>
      </c>
      <c r="C3" s="11" t="s">
        <v>26</v>
      </c>
      <c r="D3" s="12">
        <f>(7119.948+176554.0597)/1000</f>
        <v>183.6740077</v>
      </c>
      <c r="E3" s="12">
        <v>310</v>
      </c>
      <c r="F3" s="12">
        <f t="shared" ref="F3:F9" si="0">ROUND(D3*E3,2)</f>
        <v>56938.94</v>
      </c>
      <c r="G3" s="13"/>
      <c r="H3" s="4"/>
      <c r="I3" s="4"/>
      <c r="J3" s="4"/>
      <c r="K3" s="4"/>
      <c r="L3" s="4"/>
      <c r="M3" s="4"/>
    </row>
    <row r="4" customFormat="1" ht="20" customHeight="1" spans="1:13">
      <c r="A4" s="9">
        <v>2</v>
      </c>
      <c r="B4" s="10" t="s">
        <v>27</v>
      </c>
      <c r="C4" s="11" t="s">
        <v>26</v>
      </c>
      <c r="D4" s="12">
        <f>133989.9147/1000</f>
        <v>133.9899147</v>
      </c>
      <c r="E4" s="12">
        <v>330</v>
      </c>
      <c r="F4" s="12">
        <f t="shared" si="0"/>
        <v>44216.67</v>
      </c>
      <c r="G4" s="13"/>
      <c r="H4" s="4"/>
      <c r="I4" s="4"/>
      <c r="J4" s="4"/>
      <c r="K4" s="4"/>
      <c r="L4" s="4"/>
      <c r="M4" s="4"/>
    </row>
    <row r="5" customFormat="1" ht="20" customHeight="1" spans="1:13">
      <c r="A5" s="9">
        <v>3</v>
      </c>
      <c r="B5" s="14" t="s">
        <v>28</v>
      </c>
      <c r="C5" s="11" t="s">
        <v>26</v>
      </c>
      <c r="D5" s="12">
        <f>79.1594+11.5628+291.8008+179.7426+0.9637*1.5+1606.25*1.5</f>
        <v>2973.08615</v>
      </c>
      <c r="E5" s="12">
        <v>69</v>
      </c>
      <c r="F5" s="12">
        <f t="shared" si="0"/>
        <v>205142.94</v>
      </c>
      <c r="G5" s="13"/>
      <c r="H5" s="4"/>
      <c r="I5" s="4"/>
      <c r="J5" s="4"/>
      <c r="K5" s="4"/>
      <c r="L5" s="4"/>
      <c r="M5" s="4"/>
    </row>
    <row r="6" customFormat="1" ht="20" customHeight="1" spans="1:13">
      <c r="A6" s="9">
        <v>4</v>
      </c>
      <c r="B6" s="14" t="s">
        <v>29</v>
      </c>
      <c r="C6" s="11" t="s">
        <v>26</v>
      </c>
      <c r="D6" s="12">
        <f>358.02+89.505+21.8026+545.5386+450.9904</f>
        <v>1465.8566</v>
      </c>
      <c r="E6" s="12">
        <v>65</v>
      </c>
      <c r="F6" s="12">
        <f t="shared" si="0"/>
        <v>95280.68</v>
      </c>
      <c r="G6" s="13"/>
      <c r="H6" s="4"/>
      <c r="I6" s="4"/>
      <c r="J6" s="4"/>
      <c r="K6" s="4"/>
      <c r="L6" s="4"/>
      <c r="M6" s="4"/>
    </row>
    <row r="7" customFormat="1" ht="20" customHeight="1" spans="1:13">
      <c r="A7" s="9">
        <v>5</v>
      </c>
      <c r="B7" s="14" t="s">
        <v>30</v>
      </c>
      <c r="C7" s="15" t="s">
        <v>31</v>
      </c>
      <c r="D7" s="12">
        <v>500</v>
      </c>
      <c r="E7" s="12">
        <v>66.8</v>
      </c>
      <c r="F7" s="12">
        <f t="shared" si="0"/>
        <v>33400</v>
      </c>
      <c r="G7" s="13"/>
      <c r="H7" s="4"/>
      <c r="I7" s="4"/>
      <c r="J7" s="4"/>
      <c r="K7" s="4"/>
      <c r="L7" s="4"/>
      <c r="M7" s="4"/>
    </row>
    <row r="8" customFormat="1" ht="20" customHeight="1" spans="1:13">
      <c r="A8" s="9">
        <v>6</v>
      </c>
      <c r="B8" s="14" t="s">
        <v>32</v>
      </c>
      <c r="C8" s="15" t="s">
        <v>26</v>
      </c>
      <c r="D8" s="12">
        <v>26.64</v>
      </c>
      <c r="E8" s="12">
        <v>3200</v>
      </c>
      <c r="F8" s="12">
        <f t="shared" si="0"/>
        <v>85248</v>
      </c>
      <c r="G8" s="13"/>
      <c r="H8" s="4"/>
      <c r="I8" s="4"/>
      <c r="J8" s="4"/>
      <c r="K8" s="4"/>
      <c r="L8" s="4"/>
      <c r="M8" s="4"/>
    </row>
    <row r="9" customFormat="1" ht="20" customHeight="1" spans="1:13">
      <c r="A9" s="9">
        <v>7</v>
      </c>
      <c r="B9" s="10" t="s">
        <v>33</v>
      </c>
      <c r="C9" s="11" t="s">
        <v>34</v>
      </c>
      <c r="D9" s="12">
        <v>1002</v>
      </c>
      <c r="E9" s="12">
        <v>70</v>
      </c>
      <c r="F9" s="12">
        <f t="shared" si="0"/>
        <v>70140</v>
      </c>
      <c r="G9" s="13"/>
      <c r="H9" s="4"/>
      <c r="I9" s="4"/>
      <c r="J9" s="60"/>
      <c r="K9" s="4"/>
      <c r="L9" s="4"/>
      <c r="M9" s="4"/>
    </row>
    <row r="10" customFormat="1" ht="20" customHeight="1" spans="1:13">
      <c r="A10" s="9">
        <v>8</v>
      </c>
      <c r="B10" s="14" t="s">
        <v>36</v>
      </c>
      <c r="C10" s="11" t="s">
        <v>34</v>
      </c>
      <c r="D10" s="20">
        <v>810</v>
      </c>
      <c r="E10" s="20">
        <v>44</v>
      </c>
      <c r="F10" s="12">
        <f t="shared" ref="F9:F16" si="1">ROUND(D10*E10,2)</f>
        <v>35640</v>
      </c>
      <c r="G10" s="16"/>
      <c r="H10" s="4"/>
      <c r="I10" s="4"/>
      <c r="J10" s="60"/>
      <c r="K10" s="4"/>
      <c r="L10" s="4"/>
      <c r="M10" s="4"/>
    </row>
    <row r="11" customFormat="1" ht="20" customHeight="1" spans="1:13">
      <c r="A11" s="9">
        <v>9</v>
      </c>
      <c r="B11" s="14" t="s">
        <v>37</v>
      </c>
      <c r="C11" s="11" t="s">
        <v>38</v>
      </c>
      <c r="D11" s="20">
        <v>2</v>
      </c>
      <c r="E11" s="20">
        <v>555</v>
      </c>
      <c r="F11" s="12">
        <f t="shared" si="1"/>
        <v>1110</v>
      </c>
      <c r="G11" s="16"/>
      <c r="H11" s="4"/>
      <c r="I11" s="4"/>
      <c r="J11" s="60"/>
      <c r="K11" s="4"/>
      <c r="L11" s="4"/>
      <c r="M11" s="4"/>
    </row>
    <row r="12" customFormat="1" ht="20" customHeight="1" spans="1:13">
      <c r="A12" s="9">
        <v>10</v>
      </c>
      <c r="B12" s="14" t="s">
        <v>39</v>
      </c>
      <c r="C12" s="11" t="s">
        <v>38</v>
      </c>
      <c r="D12" s="20">
        <f>59-12</f>
        <v>47</v>
      </c>
      <c r="E12" s="20">
        <v>495</v>
      </c>
      <c r="F12" s="12">
        <f t="shared" si="1"/>
        <v>23265</v>
      </c>
      <c r="G12" s="16"/>
      <c r="H12" s="4"/>
      <c r="I12" s="4"/>
      <c r="J12" s="32"/>
      <c r="K12" s="4"/>
      <c r="L12" s="4"/>
      <c r="M12" s="4"/>
    </row>
    <row r="13" customFormat="1" ht="20" customHeight="1" spans="1:13">
      <c r="A13" s="9">
        <v>11</v>
      </c>
      <c r="B13" s="14" t="s">
        <v>40</v>
      </c>
      <c r="C13" s="11" t="s">
        <v>38</v>
      </c>
      <c r="D13" s="20">
        <v>12</v>
      </c>
      <c r="E13" s="20">
        <v>263</v>
      </c>
      <c r="F13" s="12">
        <f t="shared" si="1"/>
        <v>3156</v>
      </c>
      <c r="G13" s="16"/>
      <c r="H13" s="4"/>
      <c r="I13" s="4"/>
      <c r="J13" s="32"/>
      <c r="K13" s="4"/>
      <c r="L13" s="4"/>
      <c r="M13" s="4"/>
    </row>
    <row r="14" customFormat="1" ht="20" customHeight="1" spans="1:13">
      <c r="A14" s="9">
        <v>12</v>
      </c>
      <c r="B14" s="14" t="s">
        <v>41</v>
      </c>
      <c r="C14" s="11" t="s">
        <v>31</v>
      </c>
      <c r="D14" s="20">
        <v>60.6</v>
      </c>
      <c r="E14" s="20">
        <v>915</v>
      </c>
      <c r="F14" s="12">
        <f t="shared" si="1"/>
        <v>55449</v>
      </c>
      <c r="G14" s="16"/>
      <c r="H14" s="4"/>
      <c r="I14" s="4"/>
      <c r="J14" s="32"/>
      <c r="K14" s="4"/>
      <c r="L14" s="4"/>
      <c r="M14" s="4"/>
    </row>
    <row r="15" customFormat="1" ht="20" customHeight="1" spans="1:13">
      <c r="A15" s="9">
        <v>13</v>
      </c>
      <c r="B15" s="14" t="s">
        <v>42</v>
      </c>
      <c r="C15" s="15" t="s">
        <v>31</v>
      </c>
      <c r="D15" s="20">
        <v>48.48</v>
      </c>
      <c r="E15" s="20">
        <v>995</v>
      </c>
      <c r="F15" s="12">
        <f t="shared" si="1"/>
        <v>48237.6</v>
      </c>
      <c r="G15" s="16"/>
      <c r="H15" s="4"/>
      <c r="I15" s="4"/>
      <c r="J15" s="32"/>
      <c r="K15" s="4"/>
      <c r="L15" s="4"/>
      <c r="M15" s="4"/>
    </row>
    <row r="16" customFormat="1" ht="20" customHeight="1" spans="1:13">
      <c r="A16" s="9">
        <v>14</v>
      </c>
      <c r="B16" s="14" t="s">
        <v>45</v>
      </c>
      <c r="C16" s="15" t="s">
        <v>34</v>
      </c>
      <c r="D16" s="20">
        <v>276</v>
      </c>
      <c r="E16" s="20">
        <v>167</v>
      </c>
      <c r="F16" s="12">
        <f t="shared" si="1"/>
        <v>46092</v>
      </c>
      <c r="G16" s="16"/>
      <c r="H16" s="4"/>
      <c r="I16" s="4"/>
      <c r="J16" s="4"/>
      <c r="K16" s="4"/>
      <c r="L16" s="4"/>
      <c r="M16" s="4"/>
    </row>
    <row r="17" customFormat="1" ht="20" customHeight="1" spans="1:13">
      <c r="A17" s="21" t="s">
        <v>47</v>
      </c>
      <c r="B17" s="22" t="s">
        <v>48</v>
      </c>
      <c r="C17" s="23"/>
      <c r="D17" s="24"/>
      <c r="E17" s="24"/>
      <c r="F17" s="24">
        <f>SUM(F3:F16)</f>
        <v>803316.83</v>
      </c>
      <c r="G17" s="16"/>
      <c r="H17" s="4"/>
      <c r="I17" s="4"/>
      <c r="J17" s="4"/>
      <c r="K17" s="4"/>
      <c r="L17" s="4"/>
      <c r="M17" s="4"/>
    </row>
    <row r="18" customFormat="1" ht="20" customHeight="1" spans="1:13">
      <c r="A18" s="21" t="s">
        <v>49</v>
      </c>
      <c r="B18" s="22" t="s">
        <v>50</v>
      </c>
      <c r="C18" s="23" t="s">
        <v>51</v>
      </c>
      <c r="D18" s="24">
        <v>13</v>
      </c>
      <c r="E18" s="24"/>
      <c r="F18" s="24">
        <f>ROUND(F17*D18/100,2)</f>
        <v>104431.19</v>
      </c>
      <c r="G18" s="16"/>
      <c r="H18" s="4"/>
      <c r="I18" s="4"/>
      <c r="J18" s="4"/>
      <c r="K18" s="4"/>
      <c r="L18" s="4"/>
      <c r="M18" s="4"/>
    </row>
    <row r="19" customFormat="1" ht="20" customHeight="1" spans="1:13">
      <c r="A19" s="21" t="s">
        <v>52</v>
      </c>
      <c r="B19" s="22" t="s">
        <v>53</v>
      </c>
      <c r="C19" s="15"/>
      <c r="D19" s="20"/>
      <c r="E19" s="20"/>
      <c r="F19" s="24">
        <f>F17+F18</f>
        <v>907748.02</v>
      </c>
      <c r="G19" s="16"/>
      <c r="H19" s="4"/>
      <c r="I19" s="4"/>
      <c r="J19" s="4"/>
      <c r="K19" s="4"/>
      <c r="L19" s="4"/>
      <c r="M19" s="4"/>
    </row>
    <row r="20" customFormat="1" ht="20" customHeight="1" spans="1:13">
      <c r="A20" s="25"/>
      <c r="B20" s="14"/>
      <c r="C20" s="15"/>
      <c r="D20" s="20"/>
      <c r="E20" s="20"/>
      <c r="F20" s="20"/>
      <c r="G20" s="16"/>
      <c r="H20" s="4"/>
      <c r="I20" s="4"/>
      <c r="J20" s="4"/>
      <c r="K20" s="4"/>
      <c r="L20" s="4"/>
      <c r="M20" s="4"/>
    </row>
    <row r="21" customFormat="1" ht="20" customHeight="1" spans="1:13">
      <c r="A21" s="25"/>
      <c r="B21" s="14"/>
      <c r="C21" s="15"/>
      <c r="D21" s="20"/>
      <c r="E21" s="20"/>
      <c r="F21" s="20"/>
      <c r="G21" s="16"/>
      <c r="H21" s="4"/>
      <c r="I21" s="4"/>
      <c r="J21" s="4"/>
      <c r="K21" s="4"/>
      <c r="L21" s="4"/>
      <c r="M21" s="4"/>
    </row>
    <row r="22" customFormat="1" ht="20" customHeight="1" spans="1:13">
      <c r="A22" s="25"/>
      <c r="B22" s="14"/>
      <c r="C22" s="15"/>
      <c r="D22" s="20"/>
      <c r="E22" s="20"/>
      <c r="F22" s="20"/>
      <c r="G22" s="16"/>
      <c r="H22" s="4"/>
      <c r="I22" s="4"/>
      <c r="J22" s="4"/>
      <c r="K22" s="4"/>
      <c r="L22" s="4"/>
      <c r="M22" s="4"/>
    </row>
    <row r="23" customFormat="1" ht="20" customHeight="1" spans="1:13">
      <c r="A23" s="25"/>
      <c r="B23" s="14"/>
      <c r="C23" s="15"/>
      <c r="D23" s="20"/>
      <c r="E23" s="20"/>
      <c r="F23" s="20"/>
      <c r="G23" s="16"/>
      <c r="H23" s="4"/>
      <c r="I23" s="4"/>
      <c r="J23" s="4"/>
      <c r="K23" s="4"/>
      <c r="L23" s="4"/>
      <c r="M23" s="4"/>
    </row>
    <row r="24" customFormat="1" ht="20" customHeight="1" spans="1:13">
      <c r="A24" s="26"/>
      <c r="B24" s="27" t="s">
        <v>54</v>
      </c>
      <c r="C24" s="28"/>
      <c r="D24" s="29"/>
      <c r="E24" s="29"/>
      <c r="F24" s="30"/>
      <c r="G24" s="31"/>
      <c r="H24" s="4"/>
      <c r="I24" s="4"/>
      <c r="J24" s="4"/>
      <c r="K24" s="4"/>
      <c r="L24" s="4"/>
      <c r="M24" s="4"/>
    </row>
    <row r="25" customFormat="1" ht="20" customHeight="1"/>
    <row r="26" customFormat="1" ht="20" customHeight="1"/>
    <row r="27" customFormat="1" ht="20" customHeight="1"/>
    <row r="28" customFormat="1" ht="18" customHeight="1"/>
    <row r="29" customFormat="1" ht="18" customHeight="1"/>
    <row r="30" customFormat="1" ht="18" customHeight="1"/>
    <row r="31" customFormat="1" ht="18" customHeight="1"/>
    <row r="32" customFormat="1" ht="18" customHeight="1"/>
    <row r="33" customFormat="1" ht="18" customHeight="1"/>
    <row r="34" customFormat="1" ht="18" customHeight="1"/>
    <row r="35" customFormat="1" ht="18" customHeight="1"/>
    <row r="36" customFormat="1" ht="18" customHeight="1"/>
    <row r="37" customFormat="1" ht="18" customHeight="1"/>
    <row r="38" customFormat="1" ht="18" customHeight="1"/>
    <row r="39" customFormat="1" ht="18" customHeight="1"/>
    <row r="40" customFormat="1" ht="18" customHeight="1"/>
    <row r="41" customFormat="1" ht="18" customHeight="1"/>
    <row r="42" customFormat="1" ht="18" customHeight="1"/>
    <row r="43" customFormat="1" ht="18" customHeight="1"/>
    <row r="44" customFormat="1" ht="18" customHeight="1"/>
    <row r="45" customFormat="1" spans="16381:16383">
      <c r="XFA45" s="1"/>
      <c r="XFB45" s="1"/>
      <c r="XFC45" s="1"/>
    </row>
    <row r="46" customFormat="1" spans="16381:16383">
      <c r="XFA46" s="1"/>
      <c r="XFB46" s="1"/>
      <c r="XFC46" s="1"/>
    </row>
    <row r="47" customFormat="1" spans="16381:16383">
      <c r="XFA47" s="1"/>
      <c r="XFB47" s="1"/>
      <c r="XFC47" s="1"/>
    </row>
    <row r="48" customFormat="1" spans="16381:16383">
      <c r="XFA48" s="1"/>
      <c r="XFB48" s="1"/>
      <c r="XFC48" s="1"/>
    </row>
    <row r="49" customFormat="1" spans="16381:16383">
      <c r="XFA49" s="1"/>
      <c r="XFB49" s="1"/>
      <c r="XFC49" s="1"/>
    </row>
    <row r="50" customFormat="1" spans="16381:16383">
      <c r="XFA50" s="1"/>
      <c r="XFB50" s="1"/>
      <c r="XFC50" s="1"/>
    </row>
    <row r="51" customFormat="1" spans="16381:16383">
      <c r="XFA51" s="1"/>
      <c r="XFB51" s="1"/>
      <c r="XFC51" s="1"/>
    </row>
    <row r="52" customFormat="1" spans="16381:16383">
      <c r="XFA52" s="1"/>
      <c r="XFB52" s="1"/>
      <c r="XFC52" s="1"/>
    </row>
    <row r="53" customFormat="1" spans="16381:16383">
      <c r="XFA53" s="1"/>
      <c r="XFB53" s="1"/>
      <c r="XFC53" s="1"/>
    </row>
    <row r="54" customFormat="1" spans="16381:16383">
      <c r="XFA54" s="1"/>
      <c r="XFB54" s="1"/>
      <c r="XFC54" s="1"/>
    </row>
    <row r="55" customFormat="1" spans="16381:16383">
      <c r="XFA55" s="1"/>
      <c r="XFB55" s="1"/>
      <c r="XFC55" s="1"/>
    </row>
    <row r="56" customFormat="1" spans="16381:16383">
      <c r="XFA56" s="1"/>
      <c r="XFB56" s="1"/>
      <c r="XFC56" s="1"/>
    </row>
    <row r="57" customFormat="1" spans="16381:16383">
      <c r="XFA57" s="1"/>
      <c r="XFB57" s="1"/>
      <c r="XFC57" s="1"/>
    </row>
    <row r="58" customFormat="1" spans="16381:16383">
      <c r="XFA58" s="1"/>
      <c r="XFB58" s="1"/>
      <c r="XFC58" s="1"/>
    </row>
    <row r="59" customFormat="1" spans="16381:16383">
      <c r="XFA59" s="1"/>
      <c r="XFB59" s="1"/>
      <c r="XFC59" s="1"/>
    </row>
    <row r="60" customFormat="1" spans="16381:16383">
      <c r="XFA60" s="1"/>
      <c r="XFB60" s="1"/>
      <c r="XFC60" s="1"/>
    </row>
    <row r="61" customFormat="1" spans="16381:16383">
      <c r="XFA61" s="1"/>
      <c r="XFB61" s="1"/>
      <c r="XFC61" s="1"/>
    </row>
    <row r="62" customFormat="1" spans="16381:16383">
      <c r="XFA62" s="1"/>
      <c r="XFB62" s="1"/>
      <c r="XFC62" s="1"/>
    </row>
    <row r="63" customFormat="1" spans="16381:16383">
      <c r="XFA63" s="1"/>
      <c r="XFB63" s="1"/>
      <c r="XFC63" s="1"/>
    </row>
    <row r="64" customFormat="1" spans="16381:16383">
      <c r="XFA64" s="1"/>
      <c r="XFB64" s="1"/>
      <c r="XFC64" s="1"/>
    </row>
    <row r="65" customFormat="1" spans="16381:16383">
      <c r="XFA65" s="1"/>
      <c r="XFB65" s="1"/>
      <c r="XFC65" s="1"/>
    </row>
    <row r="66" customFormat="1" spans="16381:16383">
      <c r="XFA66" s="1"/>
      <c r="XFB66" s="1"/>
      <c r="XFC66" s="1"/>
    </row>
    <row r="67" customFormat="1" spans="16381:16383">
      <c r="XFA67" s="1"/>
      <c r="XFB67" s="1"/>
      <c r="XFC67" s="1"/>
    </row>
    <row r="68" customFormat="1" spans="16381:16383">
      <c r="XFA68" s="1"/>
      <c r="XFB68" s="1"/>
      <c r="XFC68" s="1"/>
    </row>
    <row r="69" customFormat="1" spans="16381:16383">
      <c r="XFA69" s="1"/>
      <c r="XFB69" s="1"/>
      <c r="XFC69" s="1"/>
    </row>
    <row r="70" customFormat="1" spans="16381:16383">
      <c r="XFA70" s="1"/>
      <c r="XFB70" s="1"/>
      <c r="XFC70" s="1"/>
    </row>
  </sheetData>
  <mergeCells count="1">
    <mergeCell ref="A1:G1"/>
  </mergeCells>
  <printOptions horizontalCentered="1"/>
  <pageMargins left="0.472222222222222" right="0.472222222222222" top="0.786805555555556" bottom="0.5902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7"/>
  <sheetViews>
    <sheetView tabSelected="1" workbookViewId="0">
      <selection activeCell="F16" sqref="F16"/>
    </sheetView>
  </sheetViews>
  <sheetFormatPr defaultColWidth="9" defaultRowHeight="13.5"/>
  <cols>
    <col min="1" max="1" width="5.63333333333333" style="35" customWidth="1"/>
    <col min="2" max="2" width="40.6333333333333" style="35" customWidth="1"/>
    <col min="3" max="3" width="5.63333333333333" style="35" customWidth="1"/>
    <col min="4" max="4" width="10.6333333333333" style="35" customWidth="1"/>
    <col min="5" max="7" width="12.6333333333333" style="35" customWidth="1"/>
    <col min="8" max="16380" width="9" style="35"/>
    <col min="16381" max="16384" width="9" style="1"/>
  </cols>
  <sheetData>
    <row r="1" s="35" customFormat="1" ht="40" customHeight="1" spans="1:13">
      <c r="A1" s="36" t="s">
        <v>56</v>
      </c>
      <c r="B1" s="36"/>
      <c r="C1" s="36"/>
      <c r="D1" s="37"/>
      <c r="E1" s="37"/>
      <c r="F1" s="37"/>
      <c r="G1" s="36"/>
      <c r="H1" s="38"/>
      <c r="I1" s="38"/>
      <c r="J1" s="38"/>
      <c r="K1" s="38"/>
      <c r="L1" s="38"/>
      <c r="M1" s="38"/>
    </row>
    <row r="2" s="35" customFormat="1" ht="20" customHeight="1" spans="1:13">
      <c r="A2" s="39" t="s">
        <v>1</v>
      </c>
      <c r="B2" s="40" t="s">
        <v>20</v>
      </c>
      <c r="C2" s="40" t="s">
        <v>21</v>
      </c>
      <c r="D2" s="41" t="s">
        <v>22</v>
      </c>
      <c r="E2" s="41" t="s">
        <v>23</v>
      </c>
      <c r="F2" s="41" t="s">
        <v>24</v>
      </c>
      <c r="G2" s="42" t="s">
        <v>4</v>
      </c>
      <c r="H2" s="38"/>
      <c r="I2" s="38"/>
      <c r="J2" s="38"/>
      <c r="K2" s="38"/>
      <c r="L2" s="38"/>
      <c r="M2" s="38"/>
    </row>
    <row r="3" s="35" customFormat="1" ht="20" customHeight="1" spans="1:13">
      <c r="A3" s="43">
        <v>1</v>
      </c>
      <c r="B3" s="44" t="s">
        <v>25</v>
      </c>
      <c r="C3" s="18" t="s">
        <v>26</v>
      </c>
      <c r="D3" s="19">
        <f>(5354.5608+7738.1326)/1000</f>
        <v>13.0926934</v>
      </c>
      <c r="E3" s="19">
        <v>320</v>
      </c>
      <c r="F3" s="19">
        <f>ROUND(D3*E3,2)</f>
        <v>4189.66</v>
      </c>
      <c r="G3" s="45"/>
      <c r="H3" s="38"/>
      <c r="I3" s="38"/>
      <c r="J3" s="38"/>
      <c r="K3" s="38"/>
      <c r="L3" s="38"/>
      <c r="M3" s="38"/>
    </row>
    <row r="4" s="35" customFormat="1" ht="20" customHeight="1" spans="1:13">
      <c r="A4" s="43">
        <v>2</v>
      </c>
      <c r="B4" s="44" t="s">
        <v>27</v>
      </c>
      <c r="C4" s="18" t="s">
        <v>26</v>
      </c>
      <c r="D4" s="19">
        <f>8895.2247/1000</f>
        <v>8.8952247</v>
      </c>
      <c r="E4" s="19">
        <v>340</v>
      </c>
      <c r="F4" s="19">
        <f>ROUND(D4*E4,2)</f>
        <v>3024.38</v>
      </c>
      <c r="G4" s="45"/>
      <c r="H4" s="38"/>
      <c r="I4" s="38"/>
      <c r="J4" s="38"/>
      <c r="K4" s="38"/>
      <c r="L4" s="38"/>
      <c r="M4" s="38"/>
    </row>
    <row r="5" s="35" customFormat="1" ht="20" customHeight="1" spans="1:13">
      <c r="A5" s="43">
        <v>3</v>
      </c>
      <c r="B5" s="17" t="s">
        <v>28</v>
      </c>
      <c r="C5" s="18" t="s">
        <v>26</v>
      </c>
      <c r="D5" s="19">
        <f>5.2552+9.5209+12.3654+11.9326+122.075*1.5</f>
        <v>222.1866</v>
      </c>
      <c r="E5" s="19">
        <v>74</v>
      </c>
      <c r="F5" s="19">
        <f>ROUND(D5*E5,2)</f>
        <v>16441.81</v>
      </c>
      <c r="G5" s="45"/>
      <c r="H5" s="38"/>
      <c r="I5" s="38"/>
      <c r="J5" s="38"/>
      <c r="K5" s="38"/>
      <c r="L5" s="38"/>
      <c r="M5" s="38"/>
    </row>
    <row r="6" s="35" customFormat="1" ht="20" customHeight="1" spans="1:13">
      <c r="A6" s="43">
        <v>4</v>
      </c>
      <c r="B6" s="17" t="s">
        <v>29</v>
      </c>
      <c r="C6" s="18" t="s">
        <v>26</v>
      </c>
      <c r="D6" s="19">
        <f>28.3433+17.194+23.4988+29.94+1.6625</f>
        <v>100.6386</v>
      </c>
      <c r="E6" s="19">
        <v>70</v>
      </c>
      <c r="F6" s="19">
        <f>ROUND(D6*E6,2)</f>
        <v>7044.7</v>
      </c>
      <c r="G6" s="45"/>
      <c r="H6" s="38"/>
      <c r="I6" s="38"/>
      <c r="J6" s="32"/>
      <c r="K6" s="38"/>
      <c r="L6" s="38"/>
      <c r="M6" s="38"/>
    </row>
    <row r="7" s="35" customFormat="1" ht="20" customHeight="1" spans="1:13">
      <c r="A7" s="43">
        <v>5</v>
      </c>
      <c r="B7" s="17" t="s">
        <v>32</v>
      </c>
      <c r="C7" s="18" t="s">
        <v>26</v>
      </c>
      <c r="D7" s="19">
        <v>1.33</v>
      </c>
      <c r="E7" s="19">
        <v>3300</v>
      </c>
      <c r="F7" s="19">
        <f t="shared" ref="F7:F13" si="0">ROUND(D7*E7,2)</f>
        <v>4389</v>
      </c>
      <c r="G7" s="45"/>
      <c r="H7" s="38"/>
      <c r="I7" s="38"/>
      <c r="J7" s="32"/>
      <c r="K7" s="38"/>
      <c r="L7" s="38"/>
      <c r="M7" s="38"/>
    </row>
    <row r="8" s="35" customFormat="1" ht="20" customHeight="1" spans="1:13">
      <c r="A8" s="43">
        <v>6</v>
      </c>
      <c r="B8" s="44" t="s">
        <v>33</v>
      </c>
      <c r="C8" s="18" t="s">
        <v>34</v>
      </c>
      <c r="D8" s="19">
        <v>90</v>
      </c>
      <c r="E8" s="12">
        <v>72</v>
      </c>
      <c r="F8" s="19">
        <f t="shared" si="0"/>
        <v>6480</v>
      </c>
      <c r="G8" s="45"/>
      <c r="H8" s="38"/>
      <c r="I8" s="38"/>
      <c r="J8" s="32"/>
      <c r="K8" s="38"/>
      <c r="L8" s="38"/>
      <c r="M8" s="38"/>
    </row>
    <row r="9" s="35" customFormat="1" ht="20" customHeight="1" spans="1:13">
      <c r="A9" s="43">
        <v>7</v>
      </c>
      <c r="B9" s="17" t="s">
        <v>36</v>
      </c>
      <c r="C9" s="18" t="s">
        <v>34</v>
      </c>
      <c r="D9" s="34">
        <v>156</v>
      </c>
      <c r="E9" s="34">
        <v>46</v>
      </c>
      <c r="F9" s="19">
        <f t="shared" si="0"/>
        <v>7176</v>
      </c>
      <c r="G9" s="46"/>
      <c r="H9" s="38"/>
      <c r="I9" s="38"/>
      <c r="J9" s="32"/>
      <c r="K9" s="38"/>
      <c r="L9" s="38"/>
      <c r="M9" s="38"/>
    </row>
    <row r="10" s="35" customFormat="1" ht="20" customHeight="1" spans="1:13">
      <c r="A10" s="43">
        <v>8</v>
      </c>
      <c r="B10" s="17" t="s">
        <v>57</v>
      </c>
      <c r="C10" s="18" t="s">
        <v>38</v>
      </c>
      <c r="D10" s="34">
        <v>6</v>
      </c>
      <c r="E10" s="34">
        <v>147</v>
      </c>
      <c r="F10" s="19">
        <f t="shared" si="0"/>
        <v>882</v>
      </c>
      <c r="G10" s="46"/>
      <c r="H10" s="38"/>
      <c r="I10" s="38"/>
      <c r="J10" s="32"/>
      <c r="K10" s="38"/>
      <c r="L10" s="38"/>
      <c r="M10" s="38"/>
    </row>
    <row r="11" s="35" customFormat="1" ht="20" customHeight="1" spans="1:13">
      <c r="A11" s="43">
        <v>9</v>
      </c>
      <c r="B11" s="17" t="s">
        <v>39</v>
      </c>
      <c r="C11" s="18" t="s">
        <v>38</v>
      </c>
      <c r="D11" s="34">
        <v>4</v>
      </c>
      <c r="E11" s="34">
        <v>500</v>
      </c>
      <c r="F11" s="19">
        <f t="shared" si="0"/>
        <v>2000</v>
      </c>
      <c r="G11" s="46"/>
      <c r="H11" s="38"/>
      <c r="I11" s="38"/>
      <c r="J11" s="32"/>
      <c r="K11" s="38"/>
      <c r="L11" s="38"/>
      <c r="M11" s="38"/>
    </row>
    <row r="12" s="35" customFormat="1" ht="20" customHeight="1" spans="1:13">
      <c r="A12" s="43">
        <v>10</v>
      </c>
      <c r="B12" s="17" t="s">
        <v>40</v>
      </c>
      <c r="C12" s="18" t="s">
        <v>38</v>
      </c>
      <c r="D12" s="34">
        <v>2</v>
      </c>
      <c r="E12" s="34">
        <v>268</v>
      </c>
      <c r="F12" s="19">
        <f t="shared" si="0"/>
        <v>536</v>
      </c>
      <c r="G12" s="46"/>
      <c r="H12" s="38"/>
      <c r="I12" s="38"/>
      <c r="J12" s="32"/>
      <c r="K12" s="38"/>
      <c r="L12" s="38"/>
      <c r="M12" s="38"/>
    </row>
    <row r="13" s="35" customFormat="1" ht="20" customHeight="1" spans="1:13">
      <c r="A13" s="43">
        <v>11</v>
      </c>
      <c r="B13" s="17" t="s">
        <v>42</v>
      </c>
      <c r="C13" s="47" t="s">
        <v>31</v>
      </c>
      <c r="D13" s="34">
        <v>4.7975</v>
      </c>
      <c r="E13" s="34">
        <v>1020</v>
      </c>
      <c r="F13" s="19">
        <f t="shared" si="0"/>
        <v>4893.45</v>
      </c>
      <c r="G13" s="46"/>
      <c r="H13" s="38"/>
      <c r="I13" s="38"/>
      <c r="J13" s="32"/>
      <c r="K13" s="38"/>
      <c r="L13" s="38"/>
      <c r="M13" s="38"/>
    </row>
    <row r="14" s="35" customFormat="1" ht="20" customHeight="1" spans="1:13">
      <c r="A14" s="48" t="s">
        <v>47</v>
      </c>
      <c r="B14" s="49" t="s">
        <v>48</v>
      </c>
      <c r="C14" s="50"/>
      <c r="D14" s="51"/>
      <c r="E14" s="51"/>
      <c r="F14" s="51">
        <f>SUM(F3:F13)</f>
        <v>57057</v>
      </c>
      <c r="G14" s="46"/>
      <c r="H14" s="38"/>
      <c r="I14" s="38"/>
      <c r="J14" s="32"/>
      <c r="K14" s="38"/>
      <c r="L14" s="38"/>
      <c r="M14" s="38"/>
    </row>
    <row r="15" s="35" customFormat="1" ht="20" customHeight="1" spans="1:13">
      <c r="A15" s="48" t="s">
        <v>49</v>
      </c>
      <c r="B15" s="49" t="s">
        <v>50</v>
      </c>
      <c r="C15" s="50" t="s">
        <v>51</v>
      </c>
      <c r="D15" s="51">
        <v>13</v>
      </c>
      <c r="E15" s="51"/>
      <c r="F15" s="51">
        <f>ROUND(F14*D15/100,2)</f>
        <v>7417.41</v>
      </c>
      <c r="G15" s="46"/>
      <c r="H15" s="38"/>
      <c r="I15" s="38"/>
      <c r="J15" s="52"/>
      <c r="K15" s="38"/>
      <c r="L15" s="38"/>
      <c r="M15" s="38"/>
    </row>
    <row r="16" s="35" customFormat="1" ht="20" customHeight="1" spans="1:13">
      <c r="A16" s="48" t="s">
        <v>52</v>
      </c>
      <c r="B16" s="49" t="s">
        <v>53</v>
      </c>
      <c r="C16" s="47"/>
      <c r="D16" s="34"/>
      <c r="E16" s="34"/>
      <c r="F16" s="51">
        <f>F14+F15</f>
        <v>64474.41</v>
      </c>
      <c r="G16" s="46"/>
      <c r="H16" s="38"/>
      <c r="I16" s="38"/>
      <c r="J16" s="38"/>
      <c r="K16" s="38"/>
      <c r="L16" s="38"/>
      <c r="M16" s="38"/>
    </row>
    <row r="17" s="35" customFormat="1" ht="20" customHeight="1" spans="1:13">
      <c r="A17" s="53"/>
      <c r="B17" s="17"/>
      <c r="C17" s="47"/>
      <c r="D17" s="34"/>
      <c r="E17" s="34"/>
      <c r="F17" s="34"/>
      <c r="G17" s="46"/>
      <c r="H17" s="38"/>
      <c r="I17" s="38"/>
      <c r="J17" s="38"/>
      <c r="K17" s="38"/>
      <c r="L17" s="38"/>
      <c r="M17" s="38"/>
    </row>
    <row r="18" s="35" customFormat="1" ht="20" customHeight="1" spans="1:13">
      <c r="A18" s="53"/>
      <c r="B18" s="17"/>
      <c r="C18" s="47"/>
      <c r="D18" s="34"/>
      <c r="E18" s="34"/>
      <c r="F18" s="34"/>
      <c r="G18" s="46"/>
      <c r="H18" s="38"/>
      <c r="I18" s="38"/>
      <c r="J18" s="38"/>
      <c r="K18" s="38"/>
      <c r="L18" s="38"/>
      <c r="M18" s="38"/>
    </row>
    <row r="19" s="35" customFormat="1" ht="20" customHeight="1" spans="1:13">
      <c r="A19" s="53"/>
      <c r="B19" s="17"/>
      <c r="C19" s="47"/>
      <c r="D19" s="34"/>
      <c r="E19" s="34"/>
      <c r="F19" s="34"/>
      <c r="G19" s="46"/>
      <c r="H19" s="38"/>
      <c r="I19" s="38"/>
      <c r="J19" s="38"/>
      <c r="K19" s="38"/>
      <c r="L19" s="38"/>
      <c r="M19" s="38"/>
    </row>
    <row r="20" s="35" customFormat="1" ht="20" customHeight="1" spans="1:13">
      <c r="A20" s="53"/>
      <c r="B20" s="17"/>
      <c r="C20" s="47"/>
      <c r="D20" s="34"/>
      <c r="E20" s="34"/>
      <c r="F20" s="34"/>
      <c r="G20" s="46"/>
      <c r="H20" s="38"/>
      <c r="I20" s="38"/>
      <c r="J20" s="38"/>
      <c r="K20" s="38"/>
      <c r="L20" s="38"/>
      <c r="M20" s="38"/>
    </row>
    <row r="21" s="35" customFormat="1" ht="20" customHeight="1" spans="1:13">
      <c r="A21" s="54"/>
      <c r="B21" s="55" t="s">
        <v>54</v>
      </c>
      <c r="C21" s="56"/>
      <c r="D21" s="57"/>
      <c r="E21" s="57"/>
      <c r="F21" s="58"/>
      <c r="G21" s="59"/>
      <c r="H21" s="38"/>
      <c r="I21" s="38"/>
      <c r="J21" s="38"/>
      <c r="K21" s="38"/>
      <c r="L21" s="38"/>
      <c r="M21" s="38"/>
    </row>
    <row r="22" s="35" customFormat="1" ht="20" customHeight="1"/>
    <row r="23" s="35" customFormat="1" ht="20" customHeight="1"/>
    <row r="24" s="35" customFormat="1" ht="20" customHeight="1"/>
    <row r="25" s="35" customFormat="1" ht="18" customHeight="1"/>
    <row r="26" s="35" customFormat="1" ht="18" customHeight="1"/>
    <row r="27" s="35" customFormat="1" ht="18" customHeight="1"/>
    <row r="28" s="35" customFormat="1" ht="18" customHeight="1"/>
    <row r="29" s="35" customFormat="1" ht="18" customHeight="1"/>
    <row r="30" s="35" customFormat="1" ht="18" customHeight="1"/>
    <row r="31" s="35" customFormat="1" ht="18" customHeight="1"/>
    <row r="32" s="35" customFormat="1" ht="18" customHeight="1"/>
    <row r="33" s="35" customFormat="1" ht="18" customHeight="1"/>
    <row r="34" s="35" customFormat="1" ht="18" customHeight="1"/>
    <row r="35" s="35" customFormat="1" ht="18" customHeight="1"/>
    <row r="36" s="35" customFormat="1" ht="18" customHeight="1"/>
    <row r="37" s="35" customFormat="1" ht="18" customHeight="1"/>
    <row r="38" s="35" customFormat="1" ht="18" customHeight="1"/>
    <row r="39" s="35" customFormat="1" ht="18" customHeight="1"/>
    <row r="40" s="35" customFormat="1" ht="18" customHeight="1"/>
    <row r="41" s="35" customFormat="1" ht="18" customHeight="1"/>
    <row r="42" s="35" customFormat="1" spans="16381:16383">
      <c r="XFA42" s="1"/>
      <c r="XFB42" s="1"/>
      <c r="XFC42" s="1"/>
    </row>
    <row r="43" s="35" customFormat="1" spans="16381:16383">
      <c r="XFA43" s="1"/>
      <c r="XFB43" s="1"/>
      <c r="XFC43" s="1"/>
    </row>
    <row r="44" s="35" customFormat="1" spans="16381:16383">
      <c r="XFA44" s="1"/>
      <c r="XFB44" s="1"/>
      <c r="XFC44" s="1"/>
    </row>
    <row r="45" s="35" customFormat="1" spans="16381:16383">
      <c r="XFA45" s="1"/>
      <c r="XFB45" s="1"/>
      <c r="XFC45" s="1"/>
    </row>
    <row r="46" s="35" customFormat="1" spans="16381:16383">
      <c r="XFA46" s="1"/>
      <c r="XFB46" s="1"/>
      <c r="XFC46" s="1"/>
    </row>
    <row r="47" s="35" customFormat="1" spans="16381:16383">
      <c r="XFA47" s="1"/>
      <c r="XFB47" s="1"/>
      <c r="XFC47" s="1"/>
    </row>
    <row r="48" s="35" customFormat="1" spans="16381:16383">
      <c r="XFA48" s="1"/>
      <c r="XFB48" s="1"/>
      <c r="XFC48" s="1"/>
    </row>
    <row r="49" s="35" customFormat="1" spans="16381:16383">
      <c r="XFA49" s="1"/>
      <c r="XFB49" s="1"/>
      <c r="XFC49" s="1"/>
    </row>
    <row r="50" s="35" customFormat="1" spans="16381:16383">
      <c r="XFA50" s="1"/>
      <c r="XFB50" s="1"/>
      <c r="XFC50" s="1"/>
    </row>
    <row r="51" s="35" customFormat="1" spans="16381:16383">
      <c r="XFA51" s="1"/>
      <c r="XFB51" s="1"/>
      <c r="XFC51" s="1"/>
    </row>
    <row r="52" s="35" customFormat="1" spans="16381:16383">
      <c r="XFA52" s="1"/>
      <c r="XFB52" s="1"/>
      <c r="XFC52" s="1"/>
    </row>
    <row r="53" s="35" customFormat="1" spans="16381:16383">
      <c r="XFA53" s="1"/>
      <c r="XFB53" s="1"/>
      <c r="XFC53" s="1"/>
    </row>
    <row r="54" s="35" customFormat="1" spans="16381:16383">
      <c r="XFA54" s="1"/>
      <c r="XFB54" s="1"/>
      <c r="XFC54" s="1"/>
    </row>
    <row r="55" s="35" customFormat="1" spans="16381:16383">
      <c r="XFA55" s="1"/>
      <c r="XFB55" s="1"/>
      <c r="XFC55" s="1"/>
    </row>
    <row r="56" s="35" customFormat="1" spans="16381:16383">
      <c r="XFA56" s="1"/>
      <c r="XFB56" s="1"/>
      <c r="XFC56" s="1"/>
    </row>
    <row r="57" s="35" customFormat="1" spans="16381:16383">
      <c r="XFA57" s="1"/>
      <c r="XFB57" s="1"/>
      <c r="XFC57" s="1"/>
    </row>
    <row r="58" s="35" customFormat="1" spans="16381:16383">
      <c r="XFA58" s="1"/>
      <c r="XFB58" s="1"/>
      <c r="XFC58" s="1"/>
    </row>
    <row r="59" s="35" customFormat="1" spans="16381:16383">
      <c r="XFA59" s="1"/>
      <c r="XFB59" s="1"/>
      <c r="XFC59" s="1"/>
    </row>
    <row r="60" s="35" customFormat="1" spans="16381:16383">
      <c r="XFA60" s="1"/>
      <c r="XFB60" s="1"/>
      <c r="XFC60" s="1"/>
    </row>
    <row r="61" s="35" customFormat="1" spans="16381:16383">
      <c r="XFA61" s="1"/>
      <c r="XFB61" s="1"/>
      <c r="XFC61" s="1"/>
    </row>
    <row r="62" s="35" customFormat="1" spans="16381:16383">
      <c r="XFA62" s="1"/>
      <c r="XFB62" s="1"/>
      <c r="XFC62" s="1"/>
    </row>
    <row r="63" s="35" customFormat="1" spans="16381:16383">
      <c r="XFA63" s="1"/>
      <c r="XFB63" s="1"/>
      <c r="XFC63" s="1"/>
    </row>
    <row r="64" s="35" customFormat="1" spans="16381:16383">
      <c r="XFA64" s="1"/>
      <c r="XFB64" s="1"/>
      <c r="XFC64" s="1"/>
    </row>
    <row r="65" s="35" customFormat="1" spans="16381:16383">
      <c r="XFA65" s="1"/>
      <c r="XFB65" s="1"/>
      <c r="XFC65" s="1"/>
    </row>
    <row r="66" s="35" customFormat="1" spans="16381:16383">
      <c r="XFA66" s="1"/>
      <c r="XFB66" s="1"/>
      <c r="XFC66" s="1"/>
    </row>
    <row r="67" s="35" customFormat="1" spans="16381:16383">
      <c r="XFA67" s="1"/>
      <c r="XFB67" s="1"/>
      <c r="XFC67" s="1"/>
    </row>
  </sheetData>
  <mergeCells count="1">
    <mergeCell ref="A1:G1"/>
  </mergeCells>
  <printOptions horizontalCentered="1"/>
  <pageMargins left="0.472222222222222" right="0.472222222222222" top="0.786805555555556" bottom="0.590277777777778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0"/>
  <sheetViews>
    <sheetView workbookViewId="0">
      <selection activeCell="E7" sqref="E7"/>
    </sheetView>
  </sheetViews>
  <sheetFormatPr defaultColWidth="9" defaultRowHeight="13.5"/>
  <cols>
    <col min="1" max="1" width="5.63333333333333" customWidth="1"/>
    <col min="2" max="2" width="40.6333333333333" customWidth="1"/>
    <col min="3" max="3" width="5.63333333333333" customWidth="1"/>
    <col min="4" max="4" width="10.6333333333333" customWidth="1"/>
    <col min="5" max="7" width="12.6333333333333" customWidth="1"/>
    <col min="16381" max="16384" width="9" style="1"/>
  </cols>
  <sheetData>
    <row r="1" customFormat="1" ht="40" customHeight="1" spans="1:13">
      <c r="A1" s="2" t="s">
        <v>58</v>
      </c>
      <c r="B1" s="2"/>
      <c r="C1" s="2"/>
      <c r="D1" s="3"/>
      <c r="E1" s="3"/>
      <c r="F1" s="3"/>
      <c r="G1" s="2"/>
      <c r="H1" s="4"/>
      <c r="I1" s="4"/>
      <c r="J1" s="4"/>
      <c r="K1" s="4"/>
      <c r="L1" s="4"/>
      <c r="M1" s="4"/>
    </row>
    <row r="2" customFormat="1" ht="20" customHeight="1" spans="1:13">
      <c r="A2" s="5" t="s">
        <v>1</v>
      </c>
      <c r="B2" s="6" t="s">
        <v>20</v>
      </c>
      <c r="C2" s="6" t="s">
        <v>21</v>
      </c>
      <c r="D2" s="7" t="s">
        <v>22</v>
      </c>
      <c r="E2" s="7" t="s">
        <v>23</v>
      </c>
      <c r="F2" s="7" t="s">
        <v>24</v>
      </c>
      <c r="G2" s="8" t="s">
        <v>4</v>
      </c>
      <c r="H2" s="4"/>
      <c r="I2" s="4"/>
      <c r="J2" s="4"/>
      <c r="K2" s="4"/>
      <c r="L2" s="4"/>
      <c r="M2" s="4"/>
    </row>
    <row r="3" customFormat="1" ht="20" customHeight="1" spans="1:13">
      <c r="A3" s="9">
        <v>1</v>
      </c>
      <c r="B3" s="10" t="s">
        <v>25</v>
      </c>
      <c r="C3" s="11" t="s">
        <v>26</v>
      </c>
      <c r="D3" s="12">
        <f>(369.8838+41386.3706+1791.9418)/1000</f>
        <v>43.5481962</v>
      </c>
      <c r="E3" s="12">
        <v>310</v>
      </c>
      <c r="F3" s="12">
        <f t="shared" ref="F3:F10" si="0">ROUND(D3*E3,2)</f>
        <v>13499.94</v>
      </c>
      <c r="G3" s="13"/>
      <c r="H3" s="4"/>
      <c r="I3" s="4"/>
      <c r="J3" s="4"/>
      <c r="K3" s="4"/>
      <c r="L3" s="4"/>
      <c r="M3" s="4"/>
    </row>
    <row r="4" customFormat="1" ht="20" customHeight="1" spans="1:13">
      <c r="A4" s="9">
        <v>2</v>
      </c>
      <c r="B4" s="10" t="s">
        <v>27</v>
      </c>
      <c r="C4" s="11" t="s">
        <v>26</v>
      </c>
      <c r="D4" s="12">
        <f>146068.65/1000</f>
        <v>146.06865</v>
      </c>
      <c r="E4" s="12">
        <v>330</v>
      </c>
      <c r="F4" s="12">
        <f t="shared" si="0"/>
        <v>48202.65</v>
      </c>
      <c r="G4" s="13"/>
      <c r="H4" s="4"/>
      <c r="I4" s="4"/>
      <c r="J4" s="4"/>
      <c r="K4" s="4"/>
      <c r="L4" s="4"/>
      <c r="M4" s="4"/>
    </row>
    <row r="5" customFormat="1" ht="20" customHeight="1" spans="1:13">
      <c r="A5" s="9">
        <v>3</v>
      </c>
      <c r="B5" s="14" t="s">
        <v>28</v>
      </c>
      <c r="C5" s="11" t="s">
        <v>26</v>
      </c>
      <c r="D5" s="12">
        <f>66.381+19.9143+0.9502+66.579+2.8739+150.7275+45.2183+1092.25*1.5</f>
        <v>1991.0192</v>
      </c>
      <c r="E5" s="12">
        <v>69</v>
      </c>
      <c r="F5" s="12">
        <f t="shared" si="0"/>
        <v>137380.32</v>
      </c>
      <c r="G5" s="13"/>
      <c r="H5" s="4"/>
      <c r="I5" s="4"/>
      <c r="J5" s="4"/>
      <c r="K5" s="4"/>
      <c r="L5" s="4"/>
      <c r="M5" s="4"/>
    </row>
    <row r="6" customFormat="1" ht="20" customHeight="1" spans="1:13">
      <c r="A6" s="9">
        <v>4</v>
      </c>
      <c r="B6" s="14" t="s">
        <v>29</v>
      </c>
      <c r="C6" s="11" t="s">
        <v>26</v>
      </c>
      <c r="D6" s="12">
        <f>358.02+119.34+1.4746+126.1543+5.452+378.189+113.4567+21</f>
        <v>1123.0866</v>
      </c>
      <c r="E6" s="12">
        <v>65</v>
      </c>
      <c r="F6" s="12">
        <f t="shared" si="0"/>
        <v>73000.63</v>
      </c>
      <c r="G6" s="13"/>
      <c r="H6" s="4"/>
      <c r="I6" s="4"/>
      <c r="J6" s="4"/>
      <c r="K6" s="4"/>
      <c r="L6" s="4"/>
      <c r="M6" s="4"/>
    </row>
    <row r="7" customFormat="1" ht="20" customHeight="1" spans="1:13">
      <c r="A7" s="9">
        <v>5</v>
      </c>
      <c r="B7" s="14" t="s">
        <v>30</v>
      </c>
      <c r="C7" s="15" t="s">
        <v>31</v>
      </c>
      <c r="D7" s="12">
        <v>300</v>
      </c>
      <c r="E7" s="12">
        <v>66.8</v>
      </c>
      <c r="F7" s="12">
        <f t="shared" si="0"/>
        <v>20040</v>
      </c>
      <c r="G7" s="13"/>
      <c r="H7" s="4"/>
      <c r="I7" s="4"/>
      <c r="J7" s="4"/>
      <c r="K7" s="4"/>
      <c r="L7" s="4"/>
      <c r="M7" s="4"/>
    </row>
    <row r="8" customFormat="1" ht="20" customHeight="1" spans="1:13">
      <c r="A8" s="9">
        <v>6</v>
      </c>
      <c r="B8" s="17" t="s">
        <v>32</v>
      </c>
      <c r="C8" s="18" t="s">
        <v>26</v>
      </c>
      <c r="D8" s="19">
        <v>11.45</v>
      </c>
      <c r="E8" s="12">
        <v>3200</v>
      </c>
      <c r="F8" s="19">
        <f t="shared" si="0"/>
        <v>36640</v>
      </c>
      <c r="G8" s="13"/>
      <c r="H8" s="4"/>
      <c r="I8" s="4"/>
      <c r="J8" s="4"/>
      <c r="K8" s="4"/>
      <c r="L8" s="4"/>
      <c r="M8" s="4"/>
    </row>
    <row r="9" customFormat="1" ht="20" customHeight="1" spans="1:13">
      <c r="A9" s="9">
        <v>7</v>
      </c>
      <c r="B9" s="10" t="s">
        <v>59</v>
      </c>
      <c r="C9" s="11" t="s">
        <v>34</v>
      </c>
      <c r="D9" s="12">
        <v>630</v>
      </c>
      <c r="E9" s="12">
        <v>111</v>
      </c>
      <c r="F9" s="12">
        <f t="shared" si="0"/>
        <v>69930</v>
      </c>
      <c r="G9" s="13"/>
      <c r="H9" s="4"/>
      <c r="I9" s="4"/>
      <c r="J9" s="4"/>
      <c r="K9" s="4"/>
      <c r="L9" s="4"/>
      <c r="M9" s="4"/>
    </row>
    <row r="10" customFormat="1" ht="20" customHeight="1" spans="1:13">
      <c r="A10" s="9">
        <v>8</v>
      </c>
      <c r="B10" s="14" t="s">
        <v>36</v>
      </c>
      <c r="C10" s="11" t="s">
        <v>34</v>
      </c>
      <c r="D10" s="20">
        <v>1368</v>
      </c>
      <c r="E10" s="20">
        <v>44</v>
      </c>
      <c r="F10" s="12">
        <f t="shared" si="0"/>
        <v>60192</v>
      </c>
      <c r="G10" s="16"/>
      <c r="H10" s="4"/>
      <c r="I10" s="4"/>
      <c r="J10" s="4"/>
      <c r="K10" s="4"/>
      <c r="L10" s="4"/>
      <c r="M10" s="4"/>
    </row>
    <row r="11" customFormat="1" ht="20" customHeight="1" spans="1:13">
      <c r="A11" s="9">
        <v>9</v>
      </c>
      <c r="B11" s="14" t="s">
        <v>60</v>
      </c>
      <c r="C11" s="15" t="s">
        <v>61</v>
      </c>
      <c r="D11" s="20">
        <v>1</v>
      </c>
      <c r="E11" s="20">
        <v>85000</v>
      </c>
      <c r="F11" s="12">
        <f t="shared" ref="F11:F16" si="1">ROUND(D11*E11,2)</f>
        <v>85000</v>
      </c>
      <c r="G11" s="16"/>
      <c r="H11" s="4"/>
      <c r="I11" s="4"/>
      <c r="J11" s="32"/>
      <c r="K11" s="4"/>
      <c r="L11" s="4"/>
      <c r="M11" s="4"/>
    </row>
    <row r="12" customFormat="1" ht="20" customHeight="1" spans="1:13">
      <c r="A12" s="9">
        <v>10</v>
      </c>
      <c r="B12" s="14" t="s">
        <v>39</v>
      </c>
      <c r="C12" s="11" t="s">
        <v>38</v>
      </c>
      <c r="D12" s="20">
        <f>44-9</f>
        <v>35</v>
      </c>
      <c r="E12" s="20">
        <v>495</v>
      </c>
      <c r="F12" s="12">
        <f t="shared" si="1"/>
        <v>17325</v>
      </c>
      <c r="G12" s="16"/>
      <c r="H12" s="4"/>
      <c r="I12" s="4"/>
      <c r="J12" s="32"/>
      <c r="K12" s="4"/>
      <c r="L12" s="4"/>
      <c r="M12" s="4"/>
    </row>
    <row r="13" customFormat="1" ht="20" customHeight="1" spans="1:13">
      <c r="A13" s="9">
        <v>11</v>
      </c>
      <c r="B13" s="14" t="s">
        <v>40</v>
      </c>
      <c r="C13" s="11" t="s">
        <v>38</v>
      </c>
      <c r="D13" s="20">
        <v>9</v>
      </c>
      <c r="E13" s="20">
        <v>263</v>
      </c>
      <c r="F13" s="12">
        <f t="shared" si="1"/>
        <v>2367</v>
      </c>
      <c r="G13" s="16"/>
      <c r="H13" s="4"/>
      <c r="I13" s="4"/>
      <c r="J13" s="32"/>
      <c r="K13" s="4"/>
      <c r="L13" s="4"/>
      <c r="M13" s="4"/>
    </row>
    <row r="14" customFormat="1" ht="20" customHeight="1" spans="1:13">
      <c r="A14" s="9">
        <v>12</v>
      </c>
      <c r="B14" s="14" t="s">
        <v>42</v>
      </c>
      <c r="C14" s="15" t="s">
        <v>31</v>
      </c>
      <c r="D14" s="20">
        <v>60.6</v>
      </c>
      <c r="E14" s="20">
        <v>995</v>
      </c>
      <c r="F14" s="12">
        <f t="shared" si="1"/>
        <v>60297</v>
      </c>
      <c r="G14" s="16"/>
      <c r="H14" s="4"/>
      <c r="I14" s="4"/>
      <c r="J14" s="32"/>
      <c r="K14" s="4"/>
      <c r="L14" s="4"/>
      <c r="M14" s="4"/>
    </row>
    <row r="15" customFormat="1" ht="20" customHeight="1" spans="1:13">
      <c r="A15" s="9">
        <v>13</v>
      </c>
      <c r="B15" s="14" t="s">
        <v>62</v>
      </c>
      <c r="C15" s="11" t="s">
        <v>34</v>
      </c>
      <c r="D15" s="20">
        <v>36</v>
      </c>
      <c r="E15" s="20">
        <v>291.57</v>
      </c>
      <c r="F15" s="12">
        <f t="shared" si="1"/>
        <v>10496.52</v>
      </c>
      <c r="G15" s="16"/>
      <c r="H15" s="4"/>
      <c r="I15" s="4"/>
      <c r="J15" s="32"/>
      <c r="K15" s="4"/>
      <c r="L15" s="4"/>
      <c r="M15" s="4"/>
    </row>
    <row r="16" customFormat="1" ht="20" customHeight="1" spans="1:13">
      <c r="A16" s="9">
        <v>14</v>
      </c>
      <c r="B16" s="14" t="s">
        <v>63</v>
      </c>
      <c r="C16" s="11" t="s">
        <v>34</v>
      </c>
      <c r="D16" s="20">
        <v>294</v>
      </c>
      <c r="E16" s="20">
        <v>22</v>
      </c>
      <c r="F16" s="12">
        <f t="shared" si="1"/>
        <v>6468</v>
      </c>
      <c r="G16" s="16"/>
      <c r="H16" s="4"/>
      <c r="I16" s="4"/>
      <c r="J16" s="32"/>
      <c r="K16" s="4"/>
      <c r="L16" s="4"/>
      <c r="M16" s="4"/>
    </row>
    <row r="17" customFormat="1" ht="20" customHeight="1" spans="1:13">
      <c r="A17" s="21" t="s">
        <v>47</v>
      </c>
      <c r="B17" s="22" t="s">
        <v>48</v>
      </c>
      <c r="C17" s="23"/>
      <c r="D17" s="24"/>
      <c r="E17" s="24"/>
      <c r="F17" s="24">
        <f>SUM(F3:F14)</f>
        <v>623874.54</v>
      </c>
      <c r="G17" s="16"/>
      <c r="H17" s="4"/>
      <c r="I17" s="4"/>
      <c r="J17" s="32"/>
      <c r="K17" s="4"/>
      <c r="L17" s="4"/>
      <c r="M17" s="4"/>
    </row>
    <row r="18" customFormat="1" ht="20" customHeight="1" spans="1:13">
      <c r="A18" s="21" t="s">
        <v>49</v>
      </c>
      <c r="B18" s="22" t="s">
        <v>50</v>
      </c>
      <c r="C18" s="23" t="s">
        <v>51</v>
      </c>
      <c r="D18" s="24">
        <v>13</v>
      </c>
      <c r="E18" s="24"/>
      <c r="F18" s="24">
        <f>ROUND(F17*D18/100,2)</f>
        <v>81103.69</v>
      </c>
      <c r="G18" s="16"/>
      <c r="H18" s="4"/>
      <c r="I18" s="4"/>
      <c r="J18" s="32"/>
      <c r="K18" s="4"/>
      <c r="L18" s="4"/>
      <c r="M18" s="4"/>
    </row>
    <row r="19" customFormat="1" ht="20" customHeight="1" spans="1:13">
      <c r="A19" s="21" t="s">
        <v>52</v>
      </c>
      <c r="B19" s="22" t="s">
        <v>53</v>
      </c>
      <c r="C19" s="15"/>
      <c r="D19" s="20"/>
      <c r="E19" s="20"/>
      <c r="F19" s="24">
        <f>F17+F18</f>
        <v>704978.23</v>
      </c>
      <c r="G19" s="16"/>
      <c r="H19" s="4"/>
      <c r="I19" s="4"/>
      <c r="J19" s="32"/>
      <c r="K19" s="4"/>
      <c r="L19" s="4"/>
      <c r="M19" s="4"/>
    </row>
    <row r="20" customFormat="1" ht="20" customHeight="1" spans="1:13">
      <c r="A20" s="25"/>
      <c r="B20" s="14"/>
      <c r="C20" s="15"/>
      <c r="D20" s="20"/>
      <c r="E20" s="20"/>
      <c r="F20" s="20"/>
      <c r="G20" s="16"/>
      <c r="H20" s="4"/>
      <c r="I20" s="4"/>
      <c r="J20" s="33"/>
      <c r="K20" s="4"/>
      <c r="L20" s="4"/>
      <c r="M20" s="4"/>
    </row>
    <row r="21" customFormat="1" ht="20" customHeight="1" spans="1:13">
      <c r="A21" s="25"/>
      <c r="B21" s="14"/>
      <c r="C21" s="15"/>
      <c r="D21" s="20"/>
      <c r="E21" s="20"/>
      <c r="F21" s="20"/>
      <c r="G21" s="16"/>
      <c r="H21" s="4"/>
      <c r="I21" s="4"/>
      <c r="J21" s="33"/>
      <c r="K21" s="4"/>
      <c r="L21" s="4"/>
      <c r="M21" s="4"/>
    </row>
    <row r="22" customFormat="1" ht="20" customHeight="1" spans="1:13">
      <c r="A22" s="25"/>
      <c r="B22" s="14"/>
      <c r="C22" s="15"/>
      <c r="D22" s="20"/>
      <c r="E22" s="20"/>
      <c r="F22" s="20"/>
      <c r="G22" s="16"/>
      <c r="H22" s="4"/>
      <c r="I22" s="4"/>
      <c r="J22" s="33"/>
      <c r="K22" s="4"/>
      <c r="L22" s="4"/>
      <c r="M22" s="4"/>
    </row>
    <row r="23" customFormat="1" ht="20" customHeight="1" spans="1:13">
      <c r="A23" s="25"/>
      <c r="B23" s="14"/>
      <c r="C23" s="15"/>
      <c r="D23" s="20"/>
      <c r="E23" s="20"/>
      <c r="F23" s="20"/>
      <c r="G23" s="16"/>
      <c r="H23" s="4"/>
      <c r="I23" s="4"/>
      <c r="J23" s="4"/>
      <c r="K23" s="4"/>
      <c r="L23" s="4"/>
      <c r="M23" s="4"/>
    </row>
    <row r="24" customFormat="1" ht="20" customHeight="1" spans="1:13">
      <c r="A24" s="26"/>
      <c r="B24" s="27" t="s">
        <v>54</v>
      </c>
      <c r="C24" s="28"/>
      <c r="D24" s="29"/>
      <c r="E24" s="29"/>
      <c r="F24" s="30"/>
      <c r="G24" s="31"/>
      <c r="H24" s="4"/>
      <c r="I24" s="4"/>
      <c r="J24" s="4"/>
      <c r="K24" s="4"/>
      <c r="L24" s="4"/>
      <c r="M24" s="4"/>
    </row>
    <row r="25" customFormat="1" ht="20" customHeight="1"/>
    <row r="26" customFormat="1" ht="20" customHeight="1"/>
    <row r="27" customFormat="1" ht="20" customHeight="1"/>
    <row r="28" customFormat="1" ht="18" customHeight="1"/>
    <row r="29" customFormat="1" ht="18" customHeight="1"/>
    <row r="30" customFormat="1" ht="18" customHeight="1"/>
    <row r="31" customFormat="1" ht="18" customHeight="1"/>
    <row r="32" customFormat="1" ht="18" customHeight="1"/>
    <row r="33" customFormat="1" ht="18" customHeight="1"/>
    <row r="34" customFormat="1" ht="18" customHeight="1"/>
    <row r="35" customFormat="1" ht="18" customHeight="1"/>
    <row r="36" customFormat="1" ht="18" customHeight="1"/>
    <row r="37" customFormat="1" ht="18" customHeight="1"/>
    <row r="38" customFormat="1" ht="18" customHeight="1"/>
    <row r="39" customFormat="1" ht="18" customHeight="1"/>
    <row r="40" customFormat="1" ht="18" customHeight="1"/>
    <row r="41" customFormat="1" ht="18" customHeight="1"/>
    <row r="42" customFormat="1" ht="18" customHeight="1"/>
    <row r="43" customFormat="1" ht="18" customHeight="1"/>
    <row r="44" customFormat="1" ht="18" customHeight="1"/>
    <row r="45" customFormat="1" spans="16381:16383">
      <c r="XFA45" s="1"/>
      <c r="XFB45" s="1"/>
      <c r="XFC45" s="1"/>
    </row>
    <row r="46" customFormat="1" spans="16381:16383">
      <c r="XFA46" s="1"/>
      <c r="XFB46" s="1"/>
      <c r="XFC46" s="1"/>
    </row>
    <row r="47" customFormat="1" spans="16381:16383">
      <c r="XFA47" s="1"/>
      <c r="XFB47" s="1"/>
      <c r="XFC47" s="1"/>
    </row>
    <row r="48" customFormat="1" spans="16381:16383">
      <c r="XFA48" s="1"/>
      <c r="XFB48" s="1"/>
      <c r="XFC48" s="1"/>
    </row>
    <row r="49" customFormat="1" spans="16381:16383">
      <c r="XFA49" s="1"/>
      <c r="XFB49" s="1"/>
      <c r="XFC49" s="1"/>
    </row>
    <row r="50" customFormat="1" spans="16381:16383">
      <c r="XFA50" s="1"/>
      <c r="XFB50" s="1"/>
      <c r="XFC50" s="1"/>
    </row>
    <row r="51" customFormat="1" spans="16381:16383">
      <c r="XFA51" s="1"/>
      <c r="XFB51" s="1"/>
      <c r="XFC51" s="1"/>
    </row>
    <row r="52" customFormat="1" spans="16381:16383">
      <c r="XFA52" s="1"/>
      <c r="XFB52" s="1"/>
      <c r="XFC52" s="1"/>
    </row>
    <row r="53" customFormat="1" spans="16381:16383">
      <c r="XFA53" s="1"/>
      <c r="XFB53" s="1"/>
      <c r="XFC53" s="1"/>
    </row>
    <row r="54" customFormat="1" spans="16381:16383">
      <c r="XFA54" s="1"/>
      <c r="XFB54" s="1"/>
      <c r="XFC54" s="1"/>
    </row>
    <row r="55" customFormat="1" spans="16381:16383">
      <c r="XFA55" s="1"/>
      <c r="XFB55" s="1"/>
      <c r="XFC55" s="1"/>
    </row>
    <row r="56" customFormat="1" spans="16381:16383">
      <c r="XFA56" s="1"/>
      <c r="XFB56" s="1"/>
      <c r="XFC56" s="1"/>
    </row>
    <row r="57" customFormat="1" spans="16381:16383">
      <c r="XFA57" s="1"/>
      <c r="XFB57" s="1"/>
      <c r="XFC57" s="1"/>
    </row>
    <row r="58" customFormat="1" spans="16381:16383">
      <c r="XFA58" s="1"/>
      <c r="XFB58" s="1"/>
      <c r="XFC58" s="1"/>
    </row>
    <row r="59" customFormat="1" spans="16381:16383">
      <c r="XFA59" s="1"/>
      <c r="XFB59" s="1"/>
      <c r="XFC59" s="1"/>
    </row>
    <row r="60" customFormat="1" spans="16381:16383">
      <c r="XFA60" s="1"/>
      <c r="XFB60" s="1"/>
      <c r="XFC60" s="1"/>
    </row>
    <row r="61" customFormat="1" spans="16381:16383">
      <c r="XFA61" s="1"/>
      <c r="XFB61" s="1"/>
      <c r="XFC61" s="1"/>
    </row>
    <row r="62" customFormat="1" spans="16381:16383">
      <c r="XFA62" s="1"/>
      <c r="XFB62" s="1"/>
      <c r="XFC62" s="1"/>
    </row>
    <row r="63" customFormat="1" spans="16381:16383">
      <c r="XFA63" s="1"/>
      <c r="XFB63" s="1"/>
      <c r="XFC63" s="1"/>
    </row>
    <row r="64" customFormat="1" spans="16381:16383">
      <c r="XFA64" s="1"/>
      <c r="XFB64" s="1"/>
      <c r="XFC64" s="1"/>
    </row>
    <row r="65" customFormat="1" spans="16381:16383">
      <c r="XFA65" s="1"/>
      <c r="XFB65" s="1"/>
      <c r="XFC65" s="1"/>
    </row>
    <row r="66" customFormat="1" spans="16381:16383">
      <c r="XFA66" s="1"/>
      <c r="XFB66" s="1"/>
      <c r="XFC66" s="1"/>
    </row>
    <row r="67" customFormat="1" spans="16381:16383">
      <c r="XFA67" s="1"/>
      <c r="XFB67" s="1"/>
      <c r="XFC67" s="1"/>
    </row>
    <row r="68" customFormat="1" spans="16381:16383">
      <c r="XFA68" s="1"/>
      <c r="XFB68" s="1"/>
      <c r="XFC68" s="1"/>
    </row>
    <row r="69" customFormat="1" spans="16381:16383">
      <c r="XFA69" s="1"/>
      <c r="XFB69" s="1"/>
      <c r="XFC69" s="1"/>
    </row>
    <row r="70" customFormat="1" spans="16381:16383">
      <c r="XFA70" s="1"/>
      <c r="XFB70" s="1"/>
      <c r="XFC70" s="1"/>
    </row>
  </sheetData>
  <mergeCells count="1">
    <mergeCell ref="A1:G1"/>
  </mergeCells>
  <printOptions horizontalCentered="1"/>
  <pageMargins left="0.472222222222222" right="0.472222222222222" top="0.786805555555556" bottom="0.590277777777778" header="0.5" footer="0.5"/>
  <pageSetup paperSize="9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9"/>
  <sheetViews>
    <sheetView workbookViewId="0">
      <selection activeCell="F18" sqref="F18"/>
    </sheetView>
  </sheetViews>
  <sheetFormatPr defaultColWidth="9" defaultRowHeight="13.5"/>
  <cols>
    <col min="1" max="1" width="5.63333333333333" customWidth="1"/>
    <col min="2" max="2" width="40.6333333333333" customWidth="1"/>
    <col min="3" max="3" width="5.63333333333333" customWidth="1"/>
    <col min="4" max="4" width="10.6333333333333" customWidth="1"/>
    <col min="5" max="7" width="12.6333333333333" customWidth="1"/>
    <col min="16381" max="16384" width="9" style="1"/>
  </cols>
  <sheetData>
    <row r="1" customFormat="1" ht="40" customHeight="1" spans="1:13">
      <c r="A1" s="2" t="s">
        <v>9</v>
      </c>
      <c r="B1" s="2"/>
      <c r="C1" s="2"/>
      <c r="D1" s="3"/>
      <c r="E1" s="3"/>
      <c r="F1" s="3"/>
      <c r="G1" s="2"/>
      <c r="H1" s="4"/>
      <c r="I1" s="4"/>
      <c r="J1" s="4"/>
      <c r="K1" s="4"/>
      <c r="L1" s="4"/>
      <c r="M1" s="4"/>
    </row>
    <row r="2" customFormat="1" ht="20" customHeight="1" spans="1:13">
      <c r="A2" s="5" t="s">
        <v>1</v>
      </c>
      <c r="B2" s="6" t="s">
        <v>20</v>
      </c>
      <c r="C2" s="6" t="s">
        <v>21</v>
      </c>
      <c r="D2" s="7" t="s">
        <v>22</v>
      </c>
      <c r="E2" s="7" t="s">
        <v>23</v>
      </c>
      <c r="F2" s="7" t="s">
        <v>24</v>
      </c>
      <c r="G2" s="8" t="s">
        <v>4</v>
      </c>
      <c r="H2" s="4"/>
      <c r="I2" s="4"/>
      <c r="J2" s="4"/>
      <c r="K2" s="4"/>
      <c r="L2" s="4"/>
      <c r="M2" s="4"/>
    </row>
    <row r="3" customFormat="1" ht="20" customHeight="1" spans="1:13">
      <c r="A3" s="9">
        <v>1</v>
      </c>
      <c r="B3" s="10" t="s">
        <v>25</v>
      </c>
      <c r="C3" s="11" t="s">
        <v>26</v>
      </c>
      <c r="D3" s="12">
        <f>(3704.75+230158.152+58794.4596)/1000</f>
        <v>292.6573616</v>
      </c>
      <c r="E3" s="12">
        <v>320</v>
      </c>
      <c r="F3" s="12">
        <f t="shared" ref="F3:F10" si="0">ROUND(D3*E3,2)</f>
        <v>93650.36</v>
      </c>
      <c r="G3" s="13"/>
      <c r="H3" s="4"/>
      <c r="I3" s="4"/>
      <c r="J3" s="4"/>
      <c r="K3" s="4"/>
      <c r="L3" s="4"/>
      <c r="M3" s="4"/>
    </row>
    <row r="4" customFormat="1" ht="20" customHeight="1" spans="1:13">
      <c r="A4" s="9">
        <v>2</v>
      </c>
      <c r="B4" s="10" t="s">
        <v>27</v>
      </c>
      <c r="C4" s="11" t="s">
        <v>26</v>
      </c>
      <c r="D4" s="12">
        <f>86143.05/1000</f>
        <v>86.14305</v>
      </c>
      <c r="E4" s="12">
        <v>340</v>
      </c>
      <c r="F4" s="12">
        <f t="shared" si="0"/>
        <v>29288.64</v>
      </c>
      <c r="G4" s="13"/>
      <c r="H4" s="4"/>
      <c r="I4" s="4"/>
      <c r="J4" s="4"/>
      <c r="K4" s="4"/>
      <c r="L4" s="4"/>
      <c r="M4" s="4"/>
    </row>
    <row r="5" customFormat="1" ht="20" customHeight="1" spans="1:13">
      <c r="A5" s="9">
        <v>3</v>
      </c>
      <c r="B5" s="14" t="s">
        <v>28</v>
      </c>
      <c r="C5" s="11" t="s">
        <v>26</v>
      </c>
      <c r="D5" s="12">
        <f>50.8921+6.9122+408.1056+94.3713+115.5578</f>
        <v>675.839</v>
      </c>
      <c r="E5" s="12">
        <v>74</v>
      </c>
      <c r="F5" s="12">
        <f t="shared" si="0"/>
        <v>50012.09</v>
      </c>
      <c r="G5" s="13"/>
      <c r="H5" s="4"/>
      <c r="I5" s="4"/>
      <c r="J5" s="4"/>
      <c r="K5" s="4"/>
      <c r="L5" s="4"/>
      <c r="M5" s="4"/>
    </row>
    <row r="6" customFormat="1" ht="20" customHeight="1" spans="1:13">
      <c r="A6" s="9">
        <v>4</v>
      </c>
      <c r="B6" s="14" t="s">
        <v>29</v>
      </c>
      <c r="C6" s="11" t="s">
        <v>26</v>
      </c>
      <c r="D6" s="12">
        <f>584.766+12.2105+737.9972+178.9732+289.9449+14</f>
        <v>1817.8918</v>
      </c>
      <c r="E6" s="12">
        <v>70</v>
      </c>
      <c r="F6" s="12">
        <f t="shared" si="0"/>
        <v>127252.43</v>
      </c>
      <c r="G6" s="13"/>
      <c r="H6" s="4"/>
      <c r="I6" s="4"/>
      <c r="J6" s="32"/>
      <c r="K6" s="4"/>
      <c r="L6" s="4"/>
      <c r="M6" s="4"/>
    </row>
    <row r="7" customFormat="1" ht="20" customHeight="1" spans="1:13">
      <c r="A7" s="9">
        <v>5</v>
      </c>
      <c r="B7" s="14" t="s">
        <v>30</v>
      </c>
      <c r="C7" s="15" t="s">
        <v>31</v>
      </c>
      <c r="D7" s="12">
        <v>500</v>
      </c>
      <c r="E7" s="12">
        <v>75</v>
      </c>
      <c r="F7" s="12">
        <f t="shared" si="0"/>
        <v>37500</v>
      </c>
      <c r="G7" s="13"/>
      <c r="H7" s="4"/>
      <c r="I7" s="4"/>
      <c r="J7" s="32"/>
      <c r="K7" s="4"/>
      <c r="L7" s="4"/>
      <c r="M7" s="4"/>
    </row>
    <row r="8" customFormat="1" ht="20" customHeight="1" spans="1:13">
      <c r="A8" s="9">
        <v>6</v>
      </c>
      <c r="B8" s="17" t="s">
        <v>32</v>
      </c>
      <c r="C8" s="18" t="s">
        <v>26</v>
      </c>
      <c r="D8" s="19">
        <v>51.09</v>
      </c>
      <c r="E8" s="19">
        <v>3300</v>
      </c>
      <c r="F8" s="19">
        <f t="shared" si="0"/>
        <v>168597</v>
      </c>
      <c r="G8" s="13"/>
      <c r="H8" s="4"/>
      <c r="I8" s="4"/>
      <c r="J8" s="32"/>
      <c r="K8" s="4"/>
      <c r="L8" s="4"/>
      <c r="M8" s="4"/>
    </row>
    <row r="9" customFormat="1" ht="20" customHeight="1" spans="1:13">
      <c r="A9" s="9">
        <v>7</v>
      </c>
      <c r="B9" s="10" t="s">
        <v>59</v>
      </c>
      <c r="C9" s="11" t="s">
        <v>34</v>
      </c>
      <c r="D9" s="12">
        <v>990</v>
      </c>
      <c r="E9" s="12">
        <v>114</v>
      </c>
      <c r="F9" s="12">
        <f t="shared" si="0"/>
        <v>112860</v>
      </c>
      <c r="G9" s="13"/>
      <c r="H9" s="4"/>
      <c r="I9" s="4"/>
      <c r="J9" s="32"/>
      <c r="K9" s="4"/>
      <c r="L9" s="4"/>
      <c r="M9" s="4"/>
    </row>
    <row r="10" customFormat="1" ht="20" customHeight="1" spans="1:13">
      <c r="A10" s="9">
        <v>8</v>
      </c>
      <c r="B10" s="14" t="s">
        <v>36</v>
      </c>
      <c r="C10" s="11" t="s">
        <v>34</v>
      </c>
      <c r="D10" s="20">
        <v>732</v>
      </c>
      <c r="E10" s="20">
        <v>46</v>
      </c>
      <c r="F10" s="12">
        <f t="shared" si="0"/>
        <v>33672</v>
      </c>
      <c r="G10" s="16"/>
      <c r="H10" s="4"/>
      <c r="I10" s="4"/>
      <c r="J10" s="32"/>
      <c r="K10" s="4"/>
      <c r="L10" s="4"/>
      <c r="M10" s="4"/>
    </row>
    <row r="11" customFormat="1" ht="20" customHeight="1" spans="1:13">
      <c r="A11" s="9">
        <v>9</v>
      </c>
      <c r="B11" s="14" t="s">
        <v>64</v>
      </c>
      <c r="C11" s="11" t="s">
        <v>38</v>
      </c>
      <c r="D11" s="20">
        <v>4</v>
      </c>
      <c r="E11" s="34">
        <v>147</v>
      </c>
      <c r="F11" s="12">
        <f t="shared" ref="F11:F16" si="1">ROUND(D11*E11,2)</f>
        <v>588</v>
      </c>
      <c r="G11" s="16"/>
      <c r="H11" s="4"/>
      <c r="I11" s="4"/>
      <c r="J11" s="32"/>
      <c r="K11" s="4"/>
      <c r="L11" s="4"/>
      <c r="M11" s="4"/>
    </row>
    <row r="12" customFormat="1" ht="20" customHeight="1" spans="1:13">
      <c r="A12" s="9">
        <v>10</v>
      </c>
      <c r="B12" s="14" t="s">
        <v>39</v>
      </c>
      <c r="C12" s="11" t="s">
        <v>38</v>
      </c>
      <c r="D12" s="20">
        <v>37</v>
      </c>
      <c r="E12" s="20">
        <v>500</v>
      </c>
      <c r="F12" s="12">
        <f t="shared" si="1"/>
        <v>18500</v>
      </c>
      <c r="G12" s="16"/>
      <c r="H12" s="4"/>
      <c r="I12" s="4"/>
      <c r="J12" s="32"/>
      <c r="K12" s="4"/>
      <c r="L12" s="4"/>
      <c r="M12" s="4"/>
    </row>
    <row r="13" customFormat="1" ht="20" customHeight="1" spans="1:13">
      <c r="A13" s="9">
        <v>11</v>
      </c>
      <c r="B13" s="14" t="s">
        <v>40</v>
      </c>
      <c r="C13" s="11" t="s">
        <v>38</v>
      </c>
      <c r="D13" s="20">
        <v>10</v>
      </c>
      <c r="E13" s="20">
        <v>268</v>
      </c>
      <c r="F13" s="12">
        <f t="shared" si="1"/>
        <v>2680</v>
      </c>
      <c r="G13" s="16"/>
      <c r="H13" s="4"/>
      <c r="I13" s="4"/>
      <c r="J13" s="32"/>
      <c r="K13" s="4"/>
      <c r="L13" s="4"/>
      <c r="M13" s="4"/>
    </row>
    <row r="14" customFormat="1" ht="20" customHeight="1" spans="1:13">
      <c r="A14" s="9">
        <v>12</v>
      </c>
      <c r="B14" s="14" t="s">
        <v>41</v>
      </c>
      <c r="C14" s="15" t="s">
        <v>31</v>
      </c>
      <c r="D14" s="20">
        <v>40.4</v>
      </c>
      <c r="E14" s="20">
        <v>930</v>
      </c>
      <c r="F14" s="12">
        <f t="shared" si="1"/>
        <v>37572</v>
      </c>
      <c r="G14" s="16"/>
      <c r="H14" s="4"/>
      <c r="I14" s="4"/>
      <c r="J14" s="32"/>
      <c r="K14" s="4"/>
      <c r="L14" s="4"/>
      <c r="M14" s="4"/>
    </row>
    <row r="15" customFormat="1" ht="20" customHeight="1" spans="1:13">
      <c r="A15" s="9">
        <v>13</v>
      </c>
      <c r="B15" s="14" t="s">
        <v>42</v>
      </c>
      <c r="C15" s="15" t="s">
        <v>31</v>
      </c>
      <c r="D15" s="20">
        <v>32.32</v>
      </c>
      <c r="E15" s="20">
        <v>1020</v>
      </c>
      <c r="F15" s="12">
        <f t="shared" si="1"/>
        <v>32966.4</v>
      </c>
      <c r="G15" s="16"/>
      <c r="H15" s="4"/>
      <c r="I15" s="4"/>
      <c r="J15" s="32"/>
      <c r="K15" s="4"/>
      <c r="L15" s="4"/>
      <c r="M15" s="4"/>
    </row>
    <row r="16" customFormat="1" ht="20" customHeight="1" spans="1:13">
      <c r="A16" s="21" t="s">
        <v>47</v>
      </c>
      <c r="B16" s="22" t="s">
        <v>48</v>
      </c>
      <c r="C16" s="23"/>
      <c r="D16" s="24"/>
      <c r="E16" s="24"/>
      <c r="F16" s="24">
        <f>SUM(F3:F15)</f>
        <v>745138.92</v>
      </c>
      <c r="G16" s="16"/>
      <c r="H16" s="4"/>
      <c r="I16" s="4"/>
      <c r="J16" s="4"/>
      <c r="K16" s="4"/>
      <c r="L16" s="4"/>
      <c r="M16" s="4"/>
    </row>
    <row r="17" customFormat="1" ht="20" customHeight="1" spans="1:13">
      <c r="A17" s="21" t="s">
        <v>49</v>
      </c>
      <c r="B17" s="22" t="s">
        <v>50</v>
      </c>
      <c r="C17" s="23" t="s">
        <v>51</v>
      </c>
      <c r="D17" s="24">
        <v>13</v>
      </c>
      <c r="E17" s="24"/>
      <c r="F17" s="24">
        <f>ROUND(F16*D17/100,2)</f>
        <v>96868.06</v>
      </c>
      <c r="G17" s="16"/>
      <c r="H17" s="4"/>
      <c r="I17" s="4"/>
      <c r="J17" s="4"/>
      <c r="K17" s="4"/>
      <c r="L17" s="4"/>
      <c r="M17" s="4"/>
    </row>
    <row r="18" customFormat="1" ht="20" customHeight="1" spans="1:13">
      <c r="A18" s="21" t="s">
        <v>52</v>
      </c>
      <c r="B18" s="22" t="s">
        <v>53</v>
      </c>
      <c r="C18" s="15"/>
      <c r="D18" s="20"/>
      <c r="E18" s="20"/>
      <c r="F18" s="24">
        <f>F16+F17</f>
        <v>842006.98</v>
      </c>
      <c r="G18" s="16"/>
      <c r="H18" s="4"/>
      <c r="I18" s="4"/>
      <c r="J18" s="4"/>
      <c r="K18" s="4"/>
      <c r="L18" s="4"/>
      <c r="M18" s="4"/>
    </row>
    <row r="19" customFormat="1" ht="20" customHeight="1" spans="1:13">
      <c r="A19" s="25"/>
      <c r="B19" s="14"/>
      <c r="C19" s="15"/>
      <c r="D19" s="20"/>
      <c r="E19" s="20"/>
      <c r="F19" s="20"/>
      <c r="G19" s="16"/>
      <c r="H19" s="4"/>
      <c r="I19" s="4"/>
      <c r="J19" s="4"/>
      <c r="K19" s="4"/>
      <c r="L19" s="4"/>
      <c r="M19" s="4"/>
    </row>
    <row r="20" customFormat="1" ht="20" customHeight="1" spans="1:13">
      <c r="A20" s="25"/>
      <c r="B20" s="14"/>
      <c r="C20" s="15"/>
      <c r="D20" s="20"/>
      <c r="E20" s="20"/>
      <c r="F20" s="20"/>
      <c r="G20" s="16"/>
      <c r="H20" s="4"/>
      <c r="I20" s="4"/>
      <c r="J20" s="4"/>
      <c r="K20" s="4"/>
      <c r="L20" s="4"/>
      <c r="M20" s="4"/>
    </row>
    <row r="21" customFormat="1" ht="20" customHeight="1" spans="1:13">
      <c r="A21" s="25"/>
      <c r="B21" s="14"/>
      <c r="C21" s="15"/>
      <c r="D21" s="20"/>
      <c r="E21" s="20"/>
      <c r="F21" s="20"/>
      <c r="G21" s="16"/>
      <c r="H21" s="4"/>
      <c r="I21" s="4"/>
      <c r="J21" s="4"/>
      <c r="K21" s="4"/>
      <c r="L21" s="4"/>
      <c r="M21" s="4"/>
    </row>
    <row r="22" customFormat="1" ht="20" customHeight="1" spans="1:13">
      <c r="A22" s="25"/>
      <c r="B22" s="14"/>
      <c r="C22" s="15"/>
      <c r="D22" s="20"/>
      <c r="E22" s="20"/>
      <c r="F22" s="20"/>
      <c r="G22" s="16"/>
      <c r="H22" s="4"/>
      <c r="I22" s="4"/>
      <c r="J22" s="4"/>
      <c r="K22" s="4"/>
      <c r="L22" s="4"/>
      <c r="M22" s="4"/>
    </row>
    <row r="23" customFormat="1" ht="20" customHeight="1" spans="1:13">
      <c r="A23" s="26"/>
      <c r="B23" s="27" t="s">
        <v>54</v>
      </c>
      <c r="C23" s="28"/>
      <c r="D23" s="29"/>
      <c r="E23" s="29"/>
      <c r="F23" s="30"/>
      <c r="G23" s="31"/>
      <c r="H23" s="4"/>
      <c r="I23" s="4"/>
      <c r="J23" s="4"/>
      <c r="K23" s="4"/>
      <c r="L23" s="4"/>
      <c r="M23" s="4"/>
    </row>
    <row r="24" customFormat="1" ht="20" customHeight="1"/>
    <row r="25" customFormat="1" ht="20" customHeight="1"/>
    <row r="26" customFormat="1" ht="20" customHeight="1"/>
    <row r="27" customFormat="1" ht="18" customHeight="1"/>
    <row r="28" customFormat="1" ht="18" customHeight="1"/>
    <row r="29" customFormat="1" ht="18" customHeight="1"/>
    <row r="30" customFormat="1" ht="18" customHeight="1"/>
    <row r="31" customFormat="1" ht="18" customHeight="1"/>
    <row r="32" customFormat="1" ht="18" customHeight="1"/>
    <row r="33" customFormat="1" ht="18" customHeight="1"/>
    <row r="34" customFormat="1" ht="18" customHeight="1"/>
    <row r="35" customFormat="1" ht="18" customHeight="1"/>
    <row r="36" customFormat="1" ht="18" customHeight="1"/>
    <row r="37" customFormat="1" ht="18" customHeight="1"/>
    <row r="38" customFormat="1" ht="18" customHeight="1"/>
    <row r="39" customFormat="1" ht="18" customHeight="1"/>
    <row r="40" customFormat="1" ht="18" customHeight="1"/>
    <row r="41" customFormat="1" ht="18" customHeight="1"/>
    <row r="42" customFormat="1" ht="18" customHeight="1"/>
    <row r="43" customFormat="1" ht="18" customHeight="1"/>
    <row r="44" customFormat="1" spans="16381:16383">
      <c r="XFA44" s="1"/>
      <c r="XFB44" s="1"/>
      <c r="XFC44" s="1"/>
    </row>
    <row r="45" customFormat="1" spans="16381:16383">
      <c r="XFA45" s="1"/>
      <c r="XFB45" s="1"/>
      <c r="XFC45" s="1"/>
    </row>
    <row r="46" customFormat="1" spans="16381:16383">
      <c r="XFA46" s="1"/>
      <c r="XFB46" s="1"/>
      <c r="XFC46" s="1"/>
    </row>
    <row r="47" customFormat="1" spans="16381:16383">
      <c r="XFA47" s="1"/>
      <c r="XFB47" s="1"/>
      <c r="XFC47" s="1"/>
    </row>
    <row r="48" customFormat="1" spans="16381:16383">
      <c r="XFA48" s="1"/>
      <c r="XFB48" s="1"/>
      <c r="XFC48" s="1"/>
    </row>
    <row r="49" customFormat="1" spans="16381:16383">
      <c r="XFA49" s="1"/>
      <c r="XFB49" s="1"/>
      <c r="XFC49" s="1"/>
    </row>
    <row r="50" customFormat="1" spans="16381:16383">
      <c r="XFA50" s="1"/>
      <c r="XFB50" s="1"/>
      <c r="XFC50" s="1"/>
    </row>
    <row r="51" customFormat="1" spans="16381:16383">
      <c r="XFA51" s="1"/>
      <c r="XFB51" s="1"/>
      <c r="XFC51" s="1"/>
    </row>
    <row r="52" customFormat="1" spans="16381:16383">
      <c r="XFA52" s="1"/>
      <c r="XFB52" s="1"/>
      <c r="XFC52" s="1"/>
    </row>
    <row r="53" customFormat="1" spans="16381:16383">
      <c r="XFA53" s="1"/>
      <c r="XFB53" s="1"/>
      <c r="XFC53" s="1"/>
    </row>
    <row r="54" customFormat="1" spans="16381:16383">
      <c r="XFA54" s="1"/>
      <c r="XFB54" s="1"/>
      <c r="XFC54" s="1"/>
    </row>
    <row r="55" customFormat="1" spans="16381:16383">
      <c r="XFA55" s="1"/>
      <c r="XFB55" s="1"/>
      <c r="XFC55" s="1"/>
    </row>
    <row r="56" customFormat="1" spans="16381:16383">
      <c r="XFA56" s="1"/>
      <c r="XFB56" s="1"/>
      <c r="XFC56" s="1"/>
    </row>
    <row r="57" customFormat="1" spans="16381:16383">
      <c r="XFA57" s="1"/>
      <c r="XFB57" s="1"/>
      <c r="XFC57" s="1"/>
    </row>
    <row r="58" customFormat="1" spans="16381:16383">
      <c r="XFA58" s="1"/>
      <c r="XFB58" s="1"/>
      <c r="XFC58" s="1"/>
    </row>
    <row r="59" customFormat="1" spans="16381:16383">
      <c r="XFA59" s="1"/>
      <c r="XFB59" s="1"/>
      <c r="XFC59" s="1"/>
    </row>
    <row r="60" customFormat="1" spans="16381:16383">
      <c r="XFA60" s="1"/>
      <c r="XFB60" s="1"/>
      <c r="XFC60" s="1"/>
    </row>
    <row r="61" customFormat="1" spans="16381:16383">
      <c r="XFA61" s="1"/>
      <c r="XFB61" s="1"/>
      <c r="XFC61" s="1"/>
    </row>
    <row r="62" customFormat="1" spans="16381:16383">
      <c r="XFA62" s="1"/>
      <c r="XFB62" s="1"/>
      <c r="XFC62" s="1"/>
    </row>
    <row r="63" customFormat="1" spans="16381:16383">
      <c r="XFA63" s="1"/>
      <c r="XFB63" s="1"/>
      <c r="XFC63" s="1"/>
    </row>
    <row r="64" customFormat="1" spans="16381:16383">
      <c r="XFA64" s="1"/>
      <c r="XFB64" s="1"/>
      <c r="XFC64" s="1"/>
    </row>
    <row r="65" customFormat="1" spans="16381:16383">
      <c r="XFA65" s="1"/>
      <c r="XFB65" s="1"/>
      <c r="XFC65" s="1"/>
    </row>
    <row r="66" customFormat="1" spans="16381:16383">
      <c r="XFA66" s="1"/>
      <c r="XFB66" s="1"/>
      <c r="XFC66" s="1"/>
    </row>
    <row r="67" customFormat="1" spans="16381:16383">
      <c r="XFA67" s="1"/>
      <c r="XFB67" s="1"/>
      <c r="XFC67" s="1"/>
    </row>
    <row r="68" customFormat="1" spans="16381:16383">
      <c r="XFA68" s="1"/>
      <c r="XFB68" s="1"/>
      <c r="XFC68" s="1"/>
    </row>
    <row r="69" customFormat="1" spans="16381:16383">
      <c r="XFA69" s="1"/>
      <c r="XFB69" s="1"/>
      <c r="XFC69" s="1"/>
    </row>
  </sheetData>
  <mergeCells count="1">
    <mergeCell ref="A1:G1"/>
  </mergeCells>
  <printOptions horizontalCentered="1"/>
  <pageMargins left="0.472222222222222" right="0.472222222222222" top="0.786805555555556" bottom="0.590277777777778" header="0.5" footer="0.5"/>
  <pageSetup paperSize="9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1"/>
  <sheetViews>
    <sheetView workbookViewId="0">
      <selection activeCell="E7" sqref="E7"/>
    </sheetView>
  </sheetViews>
  <sheetFormatPr defaultColWidth="9" defaultRowHeight="13.5"/>
  <cols>
    <col min="1" max="1" width="5.63333333333333" customWidth="1"/>
    <col min="2" max="2" width="40.6333333333333" customWidth="1"/>
    <col min="3" max="3" width="5.63333333333333" customWidth="1"/>
    <col min="4" max="4" width="10.6333333333333" customWidth="1"/>
    <col min="5" max="7" width="12.6333333333333" customWidth="1"/>
    <col min="16381" max="16384" width="9" style="1"/>
  </cols>
  <sheetData>
    <row r="1" customFormat="1" ht="40" customHeight="1" spans="1:13">
      <c r="A1" s="2" t="s">
        <v>10</v>
      </c>
      <c r="B1" s="2"/>
      <c r="C1" s="2"/>
      <c r="D1" s="3"/>
      <c r="E1" s="3"/>
      <c r="F1" s="3"/>
      <c r="G1" s="2"/>
      <c r="H1" s="4"/>
      <c r="I1" s="4"/>
      <c r="J1" s="4"/>
      <c r="K1" s="4"/>
      <c r="L1" s="4"/>
      <c r="M1" s="4"/>
    </row>
    <row r="2" customFormat="1" ht="20" customHeight="1" spans="1:13">
      <c r="A2" s="5" t="s">
        <v>1</v>
      </c>
      <c r="B2" s="6" t="s">
        <v>20</v>
      </c>
      <c r="C2" s="6" t="s">
        <v>21</v>
      </c>
      <c r="D2" s="7" t="s">
        <v>22</v>
      </c>
      <c r="E2" s="7" t="s">
        <v>23</v>
      </c>
      <c r="F2" s="7" t="s">
        <v>24</v>
      </c>
      <c r="G2" s="8" t="s">
        <v>4</v>
      </c>
      <c r="H2" s="4"/>
      <c r="I2" s="4"/>
      <c r="J2" s="4"/>
      <c r="K2" s="4"/>
      <c r="L2" s="4"/>
      <c r="M2" s="4"/>
    </row>
    <row r="3" customFormat="1" ht="20" customHeight="1" spans="1:13">
      <c r="A3" s="9">
        <v>1</v>
      </c>
      <c r="B3" s="10" t="s">
        <v>25</v>
      </c>
      <c r="C3" s="11" t="s">
        <v>26</v>
      </c>
      <c r="D3" s="12">
        <f>(73546.8257+25972.7504)/1000</f>
        <v>99.5195761</v>
      </c>
      <c r="E3" s="12">
        <v>310</v>
      </c>
      <c r="F3" s="12">
        <f t="shared" ref="F3:F9" si="0">ROUND(D3*E3,2)</f>
        <v>30851.07</v>
      </c>
      <c r="G3" s="13"/>
      <c r="H3" s="4"/>
      <c r="I3" s="4"/>
      <c r="J3" s="4"/>
      <c r="K3" s="4"/>
      <c r="L3" s="4"/>
      <c r="M3" s="4"/>
    </row>
    <row r="4" customFormat="1" ht="20" customHeight="1" spans="1:13">
      <c r="A4" s="9">
        <v>2</v>
      </c>
      <c r="B4" s="10" t="s">
        <v>27</v>
      </c>
      <c r="C4" s="11" t="s">
        <v>26</v>
      </c>
      <c r="D4" s="12">
        <f>61798.275/1000</f>
        <v>61.798275</v>
      </c>
      <c r="E4" s="12">
        <v>330</v>
      </c>
      <c r="F4" s="12">
        <f t="shared" si="0"/>
        <v>20393.43</v>
      </c>
      <c r="G4" s="13"/>
      <c r="H4" s="4"/>
      <c r="I4" s="4"/>
      <c r="J4" s="4"/>
      <c r="K4" s="4"/>
      <c r="L4" s="4"/>
      <c r="M4" s="4"/>
    </row>
    <row r="5" customFormat="1" ht="20" customHeight="1" spans="1:13">
      <c r="A5" s="9">
        <v>3</v>
      </c>
      <c r="B5" s="14" t="s">
        <v>28</v>
      </c>
      <c r="C5" s="11" t="s">
        <v>26</v>
      </c>
      <c r="D5" s="12">
        <f>36.5096+117.6925+42.1519+82.9001+642.5*1.5+0.4818*1.5</f>
        <v>1243.7268</v>
      </c>
      <c r="E5" s="12">
        <v>69</v>
      </c>
      <c r="F5" s="12">
        <f t="shared" si="0"/>
        <v>85817.15</v>
      </c>
      <c r="G5" s="13"/>
      <c r="H5" s="4"/>
      <c r="I5" s="4"/>
      <c r="J5" s="4"/>
      <c r="K5" s="4"/>
      <c r="L5" s="4"/>
      <c r="M5" s="4"/>
    </row>
    <row r="6" customFormat="1" ht="20" customHeight="1" spans="1:13">
      <c r="A6" s="9">
        <v>4</v>
      </c>
      <c r="B6" s="14" t="s">
        <v>29</v>
      </c>
      <c r="C6" s="11" t="s">
        <v>26</v>
      </c>
      <c r="D6" s="12">
        <f>328.185+223.4744+79.5383+208.004+1.1486+8.75</f>
        <v>849.1003</v>
      </c>
      <c r="E6" s="12">
        <v>65</v>
      </c>
      <c r="F6" s="12">
        <f t="shared" si="0"/>
        <v>55191.52</v>
      </c>
      <c r="G6" s="13"/>
      <c r="H6" s="4"/>
      <c r="I6" s="4"/>
      <c r="J6" s="4"/>
      <c r="K6" s="4"/>
      <c r="L6" s="4"/>
      <c r="M6" s="4"/>
    </row>
    <row r="7" customFormat="1" ht="20" customHeight="1" spans="1:13">
      <c r="A7" s="9">
        <v>5</v>
      </c>
      <c r="B7" s="14" t="s">
        <v>30</v>
      </c>
      <c r="C7" s="15" t="s">
        <v>31</v>
      </c>
      <c r="D7" s="12">
        <v>350</v>
      </c>
      <c r="E7" s="12">
        <v>66.8</v>
      </c>
      <c r="F7" s="12">
        <f t="shared" si="0"/>
        <v>23380</v>
      </c>
      <c r="G7" s="16"/>
      <c r="H7" s="4"/>
      <c r="I7" s="4"/>
      <c r="J7" s="4"/>
      <c r="K7" s="4"/>
      <c r="L7" s="4"/>
      <c r="M7" s="4"/>
    </row>
    <row r="8" customFormat="1" ht="20" customHeight="1" spans="1:13">
      <c r="A8" s="9">
        <v>6</v>
      </c>
      <c r="B8" s="17" t="s">
        <v>32</v>
      </c>
      <c r="C8" s="18" t="s">
        <v>26</v>
      </c>
      <c r="D8" s="19">
        <v>4.55</v>
      </c>
      <c r="E8" s="12">
        <v>3200</v>
      </c>
      <c r="F8" s="19">
        <f t="shared" si="0"/>
        <v>14560</v>
      </c>
      <c r="G8" s="16"/>
      <c r="H8" s="4"/>
      <c r="I8" s="4"/>
      <c r="J8" s="4"/>
      <c r="K8" s="4"/>
      <c r="L8" s="4"/>
      <c r="M8" s="4"/>
    </row>
    <row r="9" customFormat="1" ht="20" customHeight="1" spans="1:13">
      <c r="A9" s="9">
        <v>7</v>
      </c>
      <c r="B9" s="10" t="s">
        <v>59</v>
      </c>
      <c r="C9" s="11" t="s">
        <v>34</v>
      </c>
      <c r="D9" s="12">
        <v>96</v>
      </c>
      <c r="E9" s="12">
        <v>111</v>
      </c>
      <c r="F9" s="12">
        <f t="shared" si="0"/>
        <v>10656</v>
      </c>
      <c r="G9" s="16"/>
      <c r="H9" s="4"/>
      <c r="I9" s="4"/>
      <c r="J9" s="4"/>
      <c r="K9" s="4"/>
      <c r="L9" s="4"/>
      <c r="M9" s="4"/>
    </row>
    <row r="10" customFormat="1" ht="20" customHeight="1" spans="1:13">
      <c r="A10" s="9">
        <v>8</v>
      </c>
      <c r="B10" s="14" t="s">
        <v>60</v>
      </c>
      <c r="C10" s="15" t="s">
        <v>61</v>
      </c>
      <c r="D10" s="20">
        <v>1</v>
      </c>
      <c r="E10" s="20">
        <v>85000</v>
      </c>
      <c r="F10" s="12">
        <f t="shared" ref="F10:F17" si="1">ROUND(D10*E10,2)</f>
        <v>85000</v>
      </c>
      <c r="G10" s="16"/>
      <c r="H10" s="4"/>
      <c r="I10" s="32"/>
      <c r="J10" s="4"/>
      <c r="K10" s="4"/>
      <c r="L10" s="4"/>
      <c r="M10" s="4"/>
    </row>
    <row r="11" customFormat="1" ht="20" customHeight="1" spans="1:13">
      <c r="A11" s="9">
        <v>9</v>
      </c>
      <c r="B11" s="14" t="s">
        <v>64</v>
      </c>
      <c r="C11" s="11" t="s">
        <v>38</v>
      </c>
      <c r="D11" s="20">
        <v>4</v>
      </c>
      <c r="E11" s="20">
        <v>141</v>
      </c>
      <c r="F11" s="12">
        <f t="shared" si="1"/>
        <v>564</v>
      </c>
      <c r="G11" s="16"/>
      <c r="H11" s="4"/>
      <c r="I11" s="32"/>
      <c r="J11" s="4"/>
      <c r="K11" s="4"/>
      <c r="L11" s="4"/>
      <c r="M11" s="4"/>
    </row>
    <row r="12" customFormat="1" ht="20" customHeight="1" spans="1:13">
      <c r="A12" s="9">
        <v>10</v>
      </c>
      <c r="B12" s="14" t="s">
        <v>37</v>
      </c>
      <c r="C12" s="11" t="s">
        <v>38</v>
      </c>
      <c r="D12" s="20">
        <v>1</v>
      </c>
      <c r="E12" s="20">
        <v>555</v>
      </c>
      <c r="F12" s="12">
        <f t="shared" si="1"/>
        <v>555</v>
      </c>
      <c r="G12" s="16"/>
      <c r="H12" s="4"/>
      <c r="I12" s="32"/>
      <c r="J12" s="4"/>
      <c r="K12" s="4"/>
      <c r="L12" s="4"/>
      <c r="M12" s="4"/>
    </row>
    <row r="13" customFormat="1" ht="20" customHeight="1" spans="1:13">
      <c r="A13" s="9">
        <v>11</v>
      </c>
      <c r="B13" s="14" t="s">
        <v>39</v>
      </c>
      <c r="C13" s="11" t="s">
        <v>38</v>
      </c>
      <c r="D13" s="20">
        <f>24-5</f>
        <v>19</v>
      </c>
      <c r="E13" s="20">
        <v>495</v>
      </c>
      <c r="F13" s="12">
        <f t="shared" si="1"/>
        <v>9405</v>
      </c>
      <c r="G13" s="16"/>
      <c r="H13" s="4"/>
      <c r="I13" s="32"/>
      <c r="J13" s="4"/>
      <c r="K13" s="4"/>
      <c r="L13" s="4"/>
      <c r="M13" s="4"/>
    </row>
    <row r="14" customFormat="1" ht="20" customHeight="1" spans="1:13">
      <c r="A14" s="9">
        <v>12</v>
      </c>
      <c r="B14" s="14" t="s">
        <v>40</v>
      </c>
      <c r="C14" s="11" t="s">
        <v>38</v>
      </c>
      <c r="D14" s="20">
        <v>5</v>
      </c>
      <c r="E14" s="20">
        <v>263</v>
      </c>
      <c r="F14" s="12">
        <f t="shared" si="1"/>
        <v>1315</v>
      </c>
      <c r="G14" s="16"/>
      <c r="H14" s="4"/>
      <c r="I14" s="32"/>
      <c r="J14" s="4"/>
      <c r="K14" s="4"/>
      <c r="L14" s="4"/>
      <c r="M14" s="4"/>
    </row>
    <row r="15" customFormat="1" ht="20" customHeight="1" spans="1:13">
      <c r="A15" s="9">
        <v>13</v>
      </c>
      <c r="B15" s="14" t="s">
        <v>42</v>
      </c>
      <c r="C15" s="15" t="s">
        <v>31</v>
      </c>
      <c r="D15" s="20">
        <v>25.25</v>
      </c>
      <c r="E15" s="20">
        <v>995</v>
      </c>
      <c r="F15" s="12">
        <f t="shared" si="1"/>
        <v>25123.75</v>
      </c>
      <c r="G15" s="16"/>
      <c r="H15" s="4"/>
      <c r="I15" s="32"/>
      <c r="J15" s="4"/>
      <c r="K15" s="4"/>
      <c r="L15" s="4"/>
      <c r="M15" s="4"/>
    </row>
    <row r="16" customFormat="1" ht="20" customHeight="1" spans="1:13">
      <c r="A16" s="9">
        <v>14</v>
      </c>
      <c r="B16" s="14" t="s">
        <v>65</v>
      </c>
      <c r="C16" s="11" t="s">
        <v>34</v>
      </c>
      <c r="D16" s="20">
        <v>282</v>
      </c>
      <c r="E16" s="20">
        <v>315.85</v>
      </c>
      <c r="F16" s="12">
        <f t="shared" si="1"/>
        <v>89069.7</v>
      </c>
      <c r="G16" s="16"/>
      <c r="H16" s="4"/>
      <c r="I16" s="32"/>
      <c r="J16" s="4"/>
      <c r="K16" s="4"/>
      <c r="L16" s="4"/>
      <c r="M16" s="4"/>
    </row>
    <row r="17" customFormat="1" ht="20" customHeight="1" spans="1:13">
      <c r="A17" s="9">
        <v>15</v>
      </c>
      <c r="B17" s="14" t="s">
        <v>66</v>
      </c>
      <c r="C17" s="11" t="s">
        <v>34</v>
      </c>
      <c r="D17" s="20">
        <v>210</v>
      </c>
      <c r="E17" s="20">
        <v>32</v>
      </c>
      <c r="F17" s="12">
        <f t="shared" si="1"/>
        <v>6720</v>
      </c>
      <c r="G17" s="16"/>
      <c r="H17" s="4"/>
      <c r="I17" s="32"/>
      <c r="J17" s="4"/>
      <c r="K17" s="4"/>
      <c r="L17" s="4"/>
      <c r="M17" s="4"/>
    </row>
    <row r="18" customFormat="1" ht="20" customHeight="1" spans="1:13">
      <c r="A18" s="21" t="s">
        <v>47</v>
      </c>
      <c r="B18" s="22" t="s">
        <v>48</v>
      </c>
      <c r="C18" s="23"/>
      <c r="D18" s="24"/>
      <c r="E18" s="24"/>
      <c r="F18" s="24">
        <f>SUM(F3:F17)</f>
        <v>458601.62</v>
      </c>
      <c r="G18" s="16"/>
      <c r="H18" s="4"/>
      <c r="I18" s="32"/>
      <c r="J18" s="4"/>
      <c r="K18" s="4"/>
      <c r="L18" s="4"/>
      <c r="M18" s="4"/>
    </row>
    <row r="19" customFormat="1" ht="20" customHeight="1" spans="1:13">
      <c r="A19" s="21" t="s">
        <v>49</v>
      </c>
      <c r="B19" s="22" t="s">
        <v>50</v>
      </c>
      <c r="C19" s="23" t="s">
        <v>51</v>
      </c>
      <c r="D19" s="24">
        <v>13</v>
      </c>
      <c r="E19" s="24"/>
      <c r="F19" s="24">
        <f>ROUND(F18*D19/100,2)</f>
        <v>59618.21</v>
      </c>
      <c r="G19" s="16"/>
      <c r="H19" s="4"/>
      <c r="I19" s="32"/>
      <c r="J19" s="4"/>
      <c r="K19" s="4"/>
      <c r="L19" s="4"/>
      <c r="M19" s="4"/>
    </row>
    <row r="20" customFormat="1" ht="20" customHeight="1" spans="1:13">
      <c r="A20" s="21" t="s">
        <v>52</v>
      </c>
      <c r="B20" s="22" t="s">
        <v>53</v>
      </c>
      <c r="C20" s="15"/>
      <c r="D20" s="20"/>
      <c r="E20" s="20"/>
      <c r="F20" s="24">
        <f>F18+F19</f>
        <v>518219.83</v>
      </c>
      <c r="G20" s="16"/>
      <c r="H20" s="4"/>
      <c r="I20" s="32"/>
      <c r="J20" s="4"/>
      <c r="K20" s="4"/>
      <c r="L20" s="4"/>
      <c r="M20" s="4"/>
    </row>
    <row r="21" customFormat="1" ht="20" customHeight="1" spans="1:13">
      <c r="A21" s="25"/>
      <c r="B21" s="14"/>
      <c r="C21" s="15"/>
      <c r="D21" s="20"/>
      <c r="E21" s="20"/>
      <c r="F21" s="20"/>
      <c r="G21" s="16"/>
      <c r="H21" s="4"/>
      <c r="I21" s="32"/>
      <c r="J21" s="4"/>
      <c r="K21" s="4"/>
      <c r="L21" s="4"/>
      <c r="M21" s="4"/>
    </row>
    <row r="22" customFormat="1" ht="20" customHeight="1" spans="1:13">
      <c r="A22" s="25"/>
      <c r="B22" s="14"/>
      <c r="C22" s="15"/>
      <c r="D22" s="20"/>
      <c r="E22" s="20"/>
      <c r="F22" s="20"/>
      <c r="G22" s="16"/>
      <c r="H22" s="4"/>
      <c r="I22" s="32"/>
      <c r="J22" s="4"/>
      <c r="K22" s="4"/>
      <c r="L22" s="4"/>
      <c r="M22" s="4"/>
    </row>
    <row r="23" customFormat="1" ht="20" customHeight="1" spans="1:13">
      <c r="A23" s="25"/>
      <c r="B23" s="14"/>
      <c r="C23" s="15"/>
      <c r="D23" s="20"/>
      <c r="E23" s="20"/>
      <c r="F23" s="20"/>
      <c r="G23" s="16"/>
      <c r="H23" s="4"/>
      <c r="I23" s="4"/>
      <c r="J23" s="4"/>
      <c r="K23" s="4"/>
      <c r="L23" s="4"/>
      <c r="M23" s="4"/>
    </row>
    <row r="24" customFormat="1" ht="20" customHeight="1" spans="1:13">
      <c r="A24" s="25"/>
      <c r="B24" s="14"/>
      <c r="C24" s="15"/>
      <c r="D24" s="20"/>
      <c r="E24" s="20"/>
      <c r="F24" s="20"/>
      <c r="G24" s="16"/>
      <c r="H24" s="4"/>
      <c r="I24" s="4"/>
      <c r="J24" s="4"/>
      <c r="K24" s="4"/>
      <c r="L24" s="4"/>
      <c r="M24" s="4"/>
    </row>
    <row r="25" customFormat="1" ht="20" customHeight="1" spans="1:13">
      <c r="A25" s="26"/>
      <c r="B25" s="27" t="s">
        <v>54</v>
      </c>
      <c r="C25" s="28"/>
      <c r="D25" s="29"/>
      <c r="E25" s="29"/>
      <c r="F25" s="30"/>
      <c r="G25" s="31"/>
      <c r="H25" s="4"/>
      <c r="I25" s="4"/>
      <c r="J25" s="4"/>
      <c r="K25" s="4"/>
      <c r="L25" s="4"/>
      <c r="M25" s="4"/>
    </row>
    <row r="26" customFormat="1" ht="20" customHeight="1"/>
    <row r="27" customFormat="1" ht="20" customHeight="1"/>
    <row r="28" customFormat="1" ht="20" customHeight="1"/>
    <row r="29" customFormat="1" ht="18" customHeight="1"/>
    <row r="30" customFormat="1" ht="18" customHeight="1"/>
    <row r="31" customFormat="1" ht="18" customHeight="1"/>
    <row r="32" customFormat="1" ht="18" customHeight="1"/>
    <row r="33" customFormat="1" ht="18" customHeight="1"/>
    <row r="34" customFormat="1" ht="18" customHeight="1"/>
    <row r="35" customFormat="1" ht="18" customHeight="1"/>
    <row r="36" customFormat="1" ht="18" customHeight="1"/>
    <row r="37" customFormat="1" ht="18" customHeight="1"/>
    <row r="38" customFormat="1" ht="18" customHeight="1"/>
    <row r="39" customFormat="1" ht="18" customHeight="1"/>
    <row r="40" customFormat="1" ht="18" customHeight="1"/>
    <row r="41" customFormat="1" ht="18" customHeight="1"/>
    <row r="42" customFormat="1" ht="18" customHeight="1"/>
    <row r="43" customFormat="1" ht="18" customHeight="1"/>
    <row r="44" customFormat="1" ht="18" customHeight="1"/>
    <row r="45" customFormat="1" ht="18" customHeight="1"/>
    <row r="46" customFormat="1" spans="16381:16383">
      <c r="XFA46" s="1"/>
      <c r="XFB46" s="1"/>
      <c r="XFC46" s="1"/>
    </row>
    <row r="47" customFormat="1" spans="16381:16383">
      <c r="XFA47" s="1"/>
      <c r="XFB47" s="1"/>
      <c r="XFC47" s="1"/>
    </row>
    <row r="48" customFormat="1" spans="16381:16383">
      <c r="XFA48" s="1"/>
      <c r="XFB48" s="1"/>
      <c r="XFC48" s="1"/>
    </row>
    <row r="49" customFormat="1" spans="16381:16383">
      <c r="XFA49" s="1"/>
      <c r="XFB49" s="1"/>
      <c r="XFC49" s="1"/>
    </row>
    <row r="50" customFormat="1" spans="16381:16383">
      <c r="XFA50" s="1"/>
      <c r="XFB50" s="1"/>
      <c r="XFC50" s="1"/>
    </row>
    <row r="51" customFormat="1" spans="16381:16383">
      <c r="XFA51" s="1"/>
      <c r="XFB51" s="1"/>
      <c r="XFC51" s="1"/>
    </row>
    <row r="52" customFormat="1" spans="16381:16383">
      <c r="XFA52" s="1"/>
      <c r="XFB52" s="1"/>
      <c r="XFC52" s="1"/>
    </row>
    <row r="53" customFormat="1" spans="16381:16383">
      <c r="XFA53" s="1"/>
      <c r="XFB53" s="1"/>
      <c r="XFC53" s="1"/>
    </row>
    <row r="54" customFormat="1" spans="16381:16383">
      <c r="XFA54" s="1"/>
      <c r="XFB54" s="1"/>
      <c r="XFC54" s="1"/>
    </row>
    <row r="55" customFormat="1" spans="16381:16383">
      <c r="XFA55" s="1"/>
      <c r="XFB55" s="1"/>
      <c r="XFC55" s="1"/>
    </row>
    <row r="56" customFormat="1" spans="16381:16383">
      <c r="XFA56" s="1"/>
      <c r="XFB56" s="1"/>
      <c r="XFC56" s="1"/>
    </row>
    <row r="57" customFormat="1" spans="16381:16383">
      <c r="XFA57" s="1"/>
      <c r="XFB57" s="1"/>
      <c r="XFC57" s="1"/>
    </row>
    <row r="58" customFormat="1" spans="16381:16383">
      <c r="XFA58" s="1"/>
      <c r="XFB58" s="1"/>
      <c r="XFC58" s="1"/>
    </row>
    <row r="59" customFormat="1" spans="16381:16383">
      <c r="XFA59" s="1"/>
      <c r="XFB59" s="1"/>
      <c r="XFC59" s="1"/>
    </row>
    <row r="60" customFormat="1" spans="16381:16383">
      <c r="XFA60" s="1"/>
      <c r="XFB60" s="1"/>
      <c r="XFC60" s="1"/>
    </row>
    <row r="61" customFormat="1" spans="16381:16383">
      <c r="XFA61" s="1"/>
      <c r="XFB61" s="1"/>
      <c r="XFC61" s="1"/>
    </row>
    <row r="62" customFormat="1" spans="16381:16383">
      <c r="XFA62" s="1"/>
      <c r="XFB62" s="1"/>
      <c r="XFC62" s="1"/>
    </row>
    <row r="63" customFormat="1" spans="16381:16383">
      <c r="XFA63" s="1"/>
      <c r="XFB63" s="1"/>
      <c r="XFC63" s="1"/>
    </row>
    <row r="64" customFormat="1" spans="16381:16383">
      <c r="XFA64" s="1"/>
      <c r="XFB64" s="1"/>
      <c r="XFC64" s="1"/>
    </row>
    <row r="65" customFormat="1" spans="16381:16383">
      <c r="XFA65" s="1"/>
      <c r="XFB65" s="1"/>
      <c r="XFC65" s="1"/>
    </row>
    <row r="66" customFormat="1" spans="16381:16383">
      <c r="XFA66" s="1"/>
      <c r="XFB66" s="1"/>
      <c r="XFC66" s="1"/>
    </row>
    <row r="67" customFormat="1" spans="16381:16383">
      <c r="XFA67" s="1"/>
      <c r="XFB67" s="1"/>
      <c r="XFC67" s="1"/>
    </row>
    <row r="68" customFormat="1" spans="16381:16383">
      <c r="XFA68" s="1"/>
      <c r="XFB68" s="1"/>
      <c r="XFC68" s="1"/>
    </row>
    <row r="69" customFormat="1" spans="16381:16383">
      <c r="XFA69" s="1"/>
      <c r="XFB69" s="1"/>
      <c r="XFC69" s="1"/>
    </row>
    <row r="70" customFormat="1" spans="16381:16383">
      <c r="XFA70" s="1"/>
      <c r="XFB70" s="1"/>
      <c r="XFC70" s="1"/>
    </row>
    <row r="71" customFormat="1" spans="16381:16383">
      <c r="XFA71" s="1"/>
      <c r="XFB71" s="1"/>
      <c r="XFC71" s="1"/>
    </row>
  </sheetData>
  <mergeCells count="1">
    <mergeCell ref="A1:G1"/>
  </mergeCells>
  <printOptions horizontalCentered="1"/>
  <pageMargins left="0.472222222222222" right="0.472222222222222" top="0.786805555555556" bottom="0.590277777777778" header="0.5" footer="0.5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9"/>
  <sheetViews>
    <sheetView workbookViewId="0">
      <selection activeCell="E7" sqref="E7"/>
    </sheetView>
  </sheetViews>
  <sheetFormatPr defaultColWidth="9" defaultRowHeight="13.5"/>
  <cols>
    <col min="1" max="1" width="5.63333333333333" customWidth="1"/>
    <col min="2" max="2" width="40.6333333333333" customWidth="1"/>
    <col min="3" max="3" width="5.63333333333333" customWidth="1"/>
    <col min="4" max="4" width="10.6333333333333" customWidth="1"/>
    <col min="5" max="7" width="12.6333333333333" customWidth="1"/>
    <col min="16381" max="16384" width="9" style="1"/>
  </cols>
  <sheetData>
    <row r="1" customFormat="1" ht="40" customHeight="1" spans="1:13">
      <c r="A1" s="2" t="s">
        <v>11</v>
      </c>
      <c r="B1" s="2"/>
      <c r="C1" s="2"/>
      <c r="D1" s="3"/>
      <c r="E1" s="3"/>
      <c r="F1" s="3"/>
      <c r="G1" s="2"/>
      <c r="H1" s="4"/>
      <c r="I1" s="4"/>
      <c r="J1" s="4"/>
      <c r="K1" s="4"/>
      <c r="L1" s="4"/>
      <c r="M1" s="4"/>
    </row>
    <row r="2" customFormat="1" ht="20" customHeight="1" spans="1:13">
      <c r="A2" s="5" t="s">
        <v>1</v>
      </c>
      <c r="B2" s="6" t="s">
        <v>20</v>
      </c>
      <c r="C2" s="6" t="s">
        <v>21</v>
      </c>
      <c r="D2" s="7" t="s">
        <v>22</v>
      </c>
      <c r="E2" s="7" t="s">
        <v>23</v>
      </c>
      <c r="F2" s="7" t="s">
        <v>24</v>
      </c>
      <c r="G2" s="8" t="s">
        <v>4</v>
      </c>
      <c r="H2" s="4"/>
      <c r="I2" s="4"/>
      <c r="J2" s="4"/>
      <c r="K2" s="4"/>
      <c r="L2" s="4"/>
      <c r="M2" s="4"/>
    </row>
    <row r="3" customFormat="1" ht="20" customHeight="1" spans="1:13">
      <c r="A3" s="9">
        <v>1</v>
      </c>
      <c r="B3" s="10" t="s">
        <v>25</v>
      </c>
      <c r="C3" s="11" t="s">
        <v>26</v>
      </c>
      <c r="D3" s="12">
        <f>(194540.3959+89065.84+64575.0967+5064.28344)/1000</f>
        <v>353.24561604</v>
      </c>
      <c r="E3" s="12">
        <v>310</v>
      </c>
      <c r="F3" s="12">
        <f>ROUND(D3*E3,2)</f>
        <v>109506.14</v>
      </c>
      <c r="G3" s="13"/>
      <c r="H3" s="4"/>
      <c r="I3" s="4"/>
      <c r="J3" s="4"/>
      <c r="K3" s="4"/>
      <c r="L3" s="4"/>
      <c r="M3" s="4"/>
    </row>
    <row r="4" customFormat="1" ht="20" customHeight="1" spans="1:13">
      <c r="A4" s="9">
        <v>2</v>
      </c>
      <c r="B4" s="10" t="s">
        <v>27</v>
      </c>
      <c r="C4" s="11" t="s">
        <v>26</v>
      </c>
      <c r="D4" s="12">
        <f>758433.375/1000</f>
        <v>758.433375</v>
      </c>
      <c r="E4" s="12">
        <v>330</v>
      </c>
      <c r="F4" s="12">
        <f>ROUND(D4*E4,2)</f>
        <v>250283.01</v>
      </c>
      <c r="G4" s="13"/>
      <c r="H4" s="4"/>
      <c r="I4" s="4"/>
      <c r="J4" s="4"/>
      <c r="K4" s="4"/>
      <c r="L4" s="4"/>
      <c r="M4" s="4"/>
    </row>
    <row r="5" customFormat="1" ht="20" customHeight="1" spans="1:13">
      <c r="A5" s="9">
        <v>3</v>
      </c>
      <c r="B5" s="14" t="s">
        <v>28</v>
      </c>
      <c r="C5" s="11" t="s">
        <v>26</v>
      </c>
      <c r="D5" s="12">
        <f>476.0317+306.6077+272.9011+8.1764+1017.4106+5268.5*1.5</f>
        <v>9983.8775</v>
      </c>
      <c r="E5" s="12">
        <v>69</v>
      </c>
      <c r="F5" s="12">
        <f>ROUND(D5*E5,2)</f>
        <v>688887.55</v>
      </c>
      <c r="G5" s="13"/>
      <c r="H5" s="4"/>
      <c r="I5" s="4"/>
      <c r="J5" s="4"/>
      <c r="K5" s="4"/>
      <c r="L5" s="4"/>
      <c r="M5" s="4"/>
    </row>
    <row r="6" customFormat="1" ht="20" customHeight="1" spans="1:13">
      <c r="A6" s="9">
        <v>4</v>
      </c>
      <c r="B6" s="14" t="s">
        <v>29</v>
      </c>
      <c r="C6" s="11" t="s">
        <v>26</v>
      </c>
      <c r="D6" s="12">
        <f>2953.665+571.3679+493.3628+15.4609+2552.7758+2.2973+78.75</f>
        <v>6667.6797</v>
      </c>
      <c r="E6" s="12">
        <v>65</v>
      </c>
      <c r="F6" s="12">
        <f>ROUND(D6*E6,2)</f>
        <v>433399.18</v>
      </c>
      <c r="G6" s="13"/>
      <c r="H6" s="4"/>
      <c r="I6" s="4"/>
      <c r="J6" s="4"/>
      <c r="K6" s="4"/>
      <c r="L6" s="4"/>
      <c r="M6" s="4"/>
    </row>
    <row r="7" customFormat="1" ht="20" customHeight="1" spans="1:13">
      <c r="A7" s="9">
        <v>5</v>
      </c>
      <c r="B7" s="14" t="s">
        <v>30</v>
      </c>
      <c r="C7" s="15" t="s">
        <v>31</v>
      </c>
      <c r="D7" s="12">
        <v>1000</v>
      </c>
      <c r="E7" s="12">
        <v>66.8</v>
      </c>
      <c r="F7" s="12">
        <f t="shared" ref="F7:F10" si="0">ROUND(D7*E7,2)</f>
        <v>66800</v>
      </c>
      <c r="G7" s="16"/>
      <c r="H7" s="4"/>
      <c r="I7" s="32"/>
      <c r="J7" s="4"/>
      <c r="K7" s="4"/>
      <c r="L7" s="4"/>
      <c r="M7" s="4"/>
    </row>
    <row r="8" customFormat="1" ht="20" customHeight="1" spans="1:13">
      <c r="A8" s="9">
        <v>6</v>
      </c>
      <c r="B8" s="17" t="s">
        <v>32</v>
      </c>
      <c r="C8" s="18" t="s">
        <v>26</v>
      </c>
      <c r="D8" s="19">
        <v>48.17</v>
      </c>
      <c r="E8" s="12">
        <v>3200</v>
      </c>
      <c r="F8" s="19">
        <f t="shared" si="0"/>
        <v>154144</v>
      </c>
      <c r="G8" s="16"/>
      <c r="H8" s="4"/>
      <c r="I8" s="32"/>
      <c r="J8" s="4"/>
      <c r="K8" s="4"/>
      <c r="L8" s="4"/>
      <c r="M8" s="4"/>
    </row>
    <row r="9" customFormat="1" ht="20" customHeight="1" spans="1:13">
      <c r="A9" s="9">
        <v>7</v>
      </c>
      <c r="B9" s="10" t="s">
        <v>59</v>
      </c>
      <c r="C9" s="11" t="s">
        <v>34</v>
      </c>
      <c r="D9" s="12">
        <v>3186</v>
      </c>
      <c r="E9" s="12">
        <v>111</v>
      </c>
      <c r="F9" s="12">
        <f t="shared" si="0"/>
        <v>353646</v>
      </c>
      <c r="G9" s="13"/>
      <c r="H9" s="4"/>
      <c r="I9" s="32"/>
      <c r="J9" s="4"/>
      <c r="K9" s="4"/>
      <c r="L9" s="4"/>
      <c r="M9" s="4"/>
    </row>
    <row r="10" customFormat="1" ht="20" customHeight="1" spans="1:13">
      <c r="A10" s="9">
        <v>8</v>
      </c>
      <c r="B10" s="14" t="s">
        <v>36</v>
      </c>
      <c r="C10" s="11" t="s">
        <v>34</v>
      </c>
      <c r="D10" s="12">
        <v>7032</v>
      </c>
      <c r="E10" s="12">
        <v>44</v>
      </c>
      <c r="F10" s="12">
        <f t="shared" si="0"/>
        <v>309408</v>
      </c>
      <c r="G10" s="16"/>
      <c r="H10" s="4"/>
      <c r="I10" s="32"/>
      <c r="J10" s="4"/>
      <c r="K10" s="4"/>
      <c r="L10" s="4"/>
      <c r="M10" s="4"/>
    </row>
    <row r="11" customFormat="1" ht="20" customHeight="1" spans="1:13">
      <c r="A11" s="9">
        <v>9</v>
      </c>
      <c r="B11" s="14" t="s">
        <v>60</v>
      </c>
      <c r="C11" s="15" t="s">
        <v>61</v>
      </c>
      <c r="D11" s="20">
        <v>1</v>
      </c>
      <c r="E11" s="20">
        <v>85000</v>
      </c>
      <c r="F11" s="12">
        <f t="shared" ref="F11:F18" si="1">ROUND(D11*E11,2)</f>
        <v>85000</v>
      </c>
      <c r="G11" s="16"/>
      <c r="H11" s="4"/>
      <c r="I11" s="32"/>
      <c r="J11" s="4"/>
      <c r="K11" s="4"/>
      <c r="L11" s="4"/>
      <c r="M11" s="4"/>
    </row>
    <row r="12" customFormat="1" ht="20" customHeight="1" spans="1:13">
      <c r="A12" s="9">
        <v>10</v>
      </c>
      <c r="B12" s="14" t="s">
        <v>64</v>
      </c>
      <c r="C12" s="11" t="s">
        <v>38</v>
      </c>
      <c r="D12" s="20">
        <v>30</v>
      </c>
      <c r="E12" s="20">
        <v>141</v>
      </c>
      <c r="F12" s="12">
        <f t="shared" si="1"/>
        <v>4230</v>
      </c>
      <c r="G12" s="16"/>
      <c r="H12" s="4"/>
      <c r="I12" s="32"/>
      <c r="J12" s="4"/>
      <c r="K12" s="4"/>
      <c r="L12" s="4"/>
      <c r="M12" s="4"/>
    </row>
    <row r="13" customFormat="1" ht="20" customHeight="1" spans="1:13">
      <c r="A13" s="9">
        <v>11</v>
      </c>
      <c r="B13" s="14" t="s">
        <v>37</v>
      </c>
      <c r="C13" s="11" t="s">
        <v>38</v>
      </c>
      <c r="D13" s="20">
        <v>4</v>
      </c>
      <c r="E13" s="20">
        <v>555</v>
      </c>
      <c r="F13" s="12">
        <f t="shared" si="1"/>
        <v>2220</v>
      </c>
      <c r="G13" s="16"/>
      <c r="H13" s="4"/>
      <c r="I13" s="32"/>
      <c r="J13" s="4"/>
      <c r="K13" s="4"/>
      <c r="L13" s="4"/>
      <c r="M13" s="4"/>
    </row>
    <row r="14" customFormat="1" ht="20" customHeight="1" spans="1:13">
      <c r="A14" s="9">
        <v>12</v>
      </c>
      <c r="B14" s="14" t="s">
        <v>39</v>
      </c>
      <c r="C14" s="11" t="s">
        <v>38</v>
      </c>
      <c r="D14" s="20">
        <v>144</v>
      </c>
      <c r="E14" s="20">
        <v>495</v>
      </c>
      <c r="F14" s="12">
        <f t="shared" si="1"/>
        <v>71280</v>
      </c>
      <c r="G14" s="16"/>
      <c r="H14" s="4"/>
      <c r="I14" s="32"/>
      <c r="J14" s="4"/>
      <c r="K14" s="4"/>
      <c r="L14" s="4"/>
      <c r="M14" s="4"/>
    </row>
    <row r="15" customFormat="1" ht="20" customHeight="1" spans="1:13">
      <c r="A15" s="9">
        <v>13</v>
      </c>
      <c r="B15" s="14" t="s">
        <v>40</v>
      </c>
      <c r="C15" s="11" t="s">
        <v>38</v>
      </c>
      <c r="D15" s="20">
        <v>36</v>
      </c>
      <c r="E15" s="20">
        <v>263</v>
      </c>
      <c r="F15" s="12">
        <f t="shared" si="1"/>
        <v>9468</v>
      </c>
      <c r="G15" s="16"/>
      <c r="H15" s="4"/>
      <c r="I15" s="32"/>
      <c r="J15" s="4"/>
      <c r="K15" s="4"/>
      <c r="L15" s="4"/>
      <c r="M15" s="4"/>
    </row>
    <row r="16" customFormat="1" ht="20" customHeight="1" spans="1:13">
      <c r="A16" s="9">
        <v>14</v>
      </c>
      <c r="B16" s="14" t="s">
        <v>67</v>
      </c>
      <c r="C16" s="15" t="s">
        <v>34</v>
      </c>
      <c r="D16" s="20">
        <v>303</v>
      </c>
      <c r="E16" s="20">
        <v>90</v>
      </c>
      <c r="F16" s="12">
        <f t="shared" ref="F16:F21" si="2">ROUND(D16*E16,2)</f>
        <v>27270</v>
      </c>
      <c r="G16" s="16"/>
      <c r="H16" s="4"/>
      <c r="I16" s="32"/>
      <c r="J16" s="4"/>
      <c r="K16" s="4"/>
      <c r="L16" s="4"/>
      <c r="M16" s="4"/>
    </row>
    <row r="17" customFormat="1" ht="20" customHeight="1" spans="1:13">
      <c r="A17" s="9">
        <v>15</v>
      </c>
      <c r="B17" s="14" t="s">
        <v>68</v>
      </c>
      <c r="C17" s="15" t="s">
        <v>34</v>
      </c>
      <c r="D17" s="20">
        <v>824</v>
      </c>
      <c r="E17" s="20">
        <v>31</v>
      </c>
      <c r="F17" s="12">
        <f t="shared" si="2"/>
        <v>25544</v>
      </c>
      <c r="G17" s="16"/>
      <c r="H17" s="4"/>
      <c r="I17" s="32"/>
      <c r="J17" s="4"/>
      <c r="K17" s="4"/>
      <c r="L17" s="4"/>
      <c r="M17" s="4"/>
    </row>
    <row r="18" customFormat="1" ht="20" customHeight="1" spans="1:13">
      <c r="A18" s="9">
        <v>16</v>
      </c>
      <c r="B18" s="14" t="s">
        <v>41</v>
      </c>
      <c r="C18" s="15" t="s">
        <v>31</v>
      </c>
      <c r="D18" s="20">
        <v>227.25</v>
      </c>
      <c r="E18" s="20">
        <v>915</v>
      </c>
      <c r="F18" s="12">
        <f t="shared" si="2"/>
        <v>207933.75</v>
      </c>
      <c r="G18" s="16"/>
      <c r="H18" s="4"/>
      <c r="I18" s="32"/>
      <c r="J18" s="4"/>
      <c r="K18" s="4"/>
      <c r="L18" s="4"/>
      <c r="M18" s="4"/>
    </row>
    <row r="19" customFormat="1" ht="20" customHeight="1" spans="1:13">
      <c r="A19" s="9">
        <v>17</v>
      </c>
      <c r="B19" s="14" t="s">
        <v>42</v>
      </c>
      <c r="C19" s="15" t="s">
        <v>31</v>
      </c>
      <c r="D19" s="20">
        <v>181.8</v>
      </c>
      <c r="E19" s="20">
        <v>995</v>
      </c>
      <c r="F19" s="12">
        <f t="shared" si="2"/>
        <v>180891</v>
      </c>
      <c r="G19" s="16"/>
      <c r="H19" s="4"/>
      <c r="I19" s="4"/>
      <c r="J19" s="4"/>
      <c r="K19" s="4"/>
      <c r="L19" s="4"/>
      <c r="M19" s="4"/>
    </row>
    <row r="20" customFormat="1" ht="20" customHeight="1" spans="1:13">
      <c r="A20" s="9">
        <v>18</v>
      </c>
      <c r="B20" s="14" t="s">
        <v>65</v>
      </c>
      <c r="C20" s="11" t="s">
        <v>34</v>
      </c>
      <c r="D20" s="20">
        <v>24</v>
      </c>
      <c r="E20" s="20">
        <v>315.85</v>
      </c>
      <c r="F20" s="12">
        <f t="shared" si="2"/>
        <v>7580.4</v>
      </c>
      <c r="G20" s="16"/>
      <c r="H20" s="4"/>
      <c r="I20" s="4"/>
      <c r="J20" s="4"/>
      <c r="K20" s="4"/>
      <c r="L20" s="4"/>
      <c r="M20" s="4"/>
    </row>
    <row r="21" customFormat="1" ht="20" customHeight="1" spans="1:13">
      <c r="A21" s="9">
        <v>19</v>
      </c>
      <c r="B21" s="14" t="s">
        <v>69</v>
      </c>
      <c r="C21" s="11" t="s">
        <v>34</v>
      </c>
      <c r="D21" s="20">
        <v>600</v>
      </c>
      <c r="E21" s="20">
        <v>48</v>
      </c>
      <c r="F21" s="12">
        <f t="shared" si="2"/>
        <v>28800</v>
      </c>
      <c r="G21" s="16"/>
      <c r="H21" s="4"/>
      <c r="I21" s="4"/>
      <c r="J21" s="4"/>
      <c r="K21" s="4"/>
      <c r="L21" s="4"/>
      <c r="M21" s="4"/>
    </row>
    <row r="22" customFormat="1" ht="20" customHeight="1" spans="1:13">
      <c r="A22" s="21" t="s">
        <v>47</v>
      </c>
      <c r="B22" s="22" t="s">
        <v>48</v>
      </c>
      <c r="C22" s="23"/>
      <c r="D22" s="24"/>
      <c r="E22" s="24"/>
      <c r="F22" s="24">
        <f>SUM(F3:F21)</f>
        <v>3016291.03</v>
      </c>
      <c r="G22" s="16"/>
      <c r="H22" s="4"/>
      <c r="I22" s="4"/>
      <c r="J22" s="4"/>
      <c r="K22" s="4"/>
      <c r="L22" s="4"/>
      <c r="M22" s="4"/>
    </row>
    <row r="23" customFormat="1" ht="20" customHeight="1" spans="1:13">
      <c r="A23" s="21" t="s">
        <v>49</v>
      </c>
      <c r="B23" s="22" t="s">
        <v>50</v>
      </c>
      <c r="C23" s="23" t="s">
        <v>51</v>
      </c>
      <c r="D23" s="24">
        <v>13</v>
      </c>
      <c r="E23" s="24"/>
      <c r="F23" s="24">
        <f>ROUND(F22*D23/100,2)</f>
        <v>392117.83</v>
      </c>
      <c r="G23" s="16"/>
      <c r="H23" s="4"/>
      <c r="I23" s="4"/>
      <c r="J23" s="4"/>
      <c r="K23" s="4"/>
      <c r="L23" s="4"/>
      <c r="M23" s="4"/>
    </row>
    <row r="24" customFormat="1" ht="20" customHeight="1" spans="1:13">
      <c r="A24" s="21" t="s">
        <v>52</v>
      </c>
      <c r="B24" s="22" t="s">
        <v>53</v>
      </c>
      <c r="C24" s="15"/>
      <c r="D24" s="20"/>
      <c r="E24" s="20"/>
      <c r="F24" s="24">
        <f>F22+F23</f>
        <v>3408408.86</v>
      </c>
      <c r="G24" s="16"/>
      <c r="H24" s="4"/>
      <c r="I24" s="4"/>
      <c r="J24" s="4"/>
      <c r="K24" s="4"/>
      <c r="L24" s="4"/>
      <c r="M24" s="4"/>
    </row>
    <row r="25" customFormat="1" ht="20" customHeight="1" spans="1:13">
      <c r="A25" s="25"/>
      <c r="B25" s="14"/>
      <c r="C25" s="15"/>
      <c r="D25" s="20"/>
      <c r="E25" s="20"/>
      <c r="F25" s="20"/>
      <c r="G25" s="16"/>
      <c r="H25" s="4"/>
      <c r="I25" s="4"/>
      <c r="J25" s="4"/>
      <c r="K25" s="4"/>
      <c r="L25" s="4"/>
      <c r="M25" s="4"/>
    </row>
    <row r="26" customFormat="1" ht="20" customHeight="1" spans="1:13">
      <c r="A26" s="25"/>
      <c r="B26" s="14"/>
      <c r="C26" s="15"/>
      <c r="D26" s="20"/>
      <c r="E26" s="20"/>
      <c r="F26" s="20"/>
      <c r="G26" s="16"/>
      <c r="H26" s="4"/>
      <c r="I26" s="4"/>
      <c r="J26" s="4"/>
      <c r="K26" s="4"/>
      <c r="L26" s="4"/>
      <c r="M26" s="4"/>
    </row>
    <row r="27" customFormat="1" ht="20" customHeight="1" spans="1:13">
      <c r="A27" s="25"/>
      <c r="B27" s="14"/>
      <c r="C27" s="15"/>
      <c r="D27" s="20"/>
      <c r="E27" s="20"/>
      <c r="F27" s="20"/>
      <c r="G27" s="16"/>
      <c r="H27" s="4"/>
      <c r="I27" s="4"/>
      <c r="J27" s="4"/>
      <c r="K27" s="4"/>
      <c r="L27" s="4"/>
      <c r="M27" s="4"/>
    </row>
    <row r="28" customFormat="1" ht="20" customHeight="1" spans="1:13">
      <c r="A28" s="25"/>
      <c r="B28" s="14"/>
      <c r="C28" s="15"/>
      <c r="D28" s="20"/>
      <c r="E28" s="20"/>
      <c r="F28" s="20"/>
      <c r="G28" s="16"/>
      <c r="H28" s="4"/>
      <c r="I28" s="4"/>
      <c r="J28" s="4"/>
      <c r="K28" s="4"/>
      <c r="L28" s="4"/>
      <c r="M28" s="4"/>
    </row>
    <row r="29" customFormat="1" ht="20" customHeight="1" spans="1:13">
      <c r="A29" s="26"/>
      <c r="B29" s="27" t="s">
        <v>54</v>
      </c>
      <c r="C29" s="28"/>
      <c r="D29" s="29"/>
      <c r="E29" s="29"/>
      <c r="F29" s="30"/>
      <c r="G29" s="31"/>
      <c r="H29" s="4"/>
      <c r="I29" s="4"/>
      <c r="J29" s="4"/>
      <c r="K29" s="4"/>
      <c r="L29" s="4"/>
      <c r="M29" s="4"/>
    </row>
    <row r="30" customFormat="1" ht="20" customHeight="1"/>
    <row r="31" customFormat="1" ht="20" customHeight="1"/>
    <row r="32" customFormat="1" ht="20" customHeight="1"/>
    <row r="33" customFormat="1" ht="18" customHeight="1"/>
    <row r="34" customFormat="1" ht="18" customHeight="1"/>
    <row r="35" customFormat="1" ht="18" customHeight="1"/>
    <row r="36" customFormat="1" ht="18" customHeight="1"/>
    <row r="37" customFormat="1" ht="18" customHeight="1"/>
    <row r="38" customFormat="1" ht="18" customHeight="1"/>
    <row r="39" customFormat="1" ht="18" customHeight="1"/>
    <row r="40" customFormat="1" ht="18" customHeight="1"/>
    <row r="41" customFormat="1" ht="18" customHeight="1"/>
    <row r="42" customFormat="1" ht="18" customHeight="1"/>
    <row r="43" customFormat="1" ht="18" customHeight="1"/>
    <row r="44" customFormat="1" ht="18" customHeight="1"/>
    <row r="45" customFormat="1" ht="18" customHeight="1"/>
    <row r="46" customFormat="1" ht="18" customHeight="1"/>
    <row r="47" customFormat="1" ht="18" customHeight="1"/>
    <row r="48" customFormat="1" ht="18" customHeight="1"/>
    <row r="49" customFormat="1" ht="18" customHeight="1"/>
    <row r="50" customFormat="1" spans="16381:16383">
      <c r="XFA50" s="1"/>
      <c r="XFB50" s="1"/>
      <c r="XFC50" s="1"/>
    </row>
    <row r="51" customFormat="1" spans="16381:16383">
      <c r="XFA51" s="1"/>
      <c r="XFB51" s="1"/>
      <c r="XFC51" s="1"/>
    </row>
    <row r="52" customFormat="1" spans="16381:16383">
      <c r="XFA52" s="1"/>
      <c r="XFB52" s="1"/>
      <c r="XFC52" s="1"/>
    </row>
    <row r="53" customFormat="1" spans="16381:16383">
      <c r="XFA53" s="1"/>
      <c r="XFB53" s="1"/>
      <c r="XFC53" s="1"/>
    </row>
    <row r="54" customFormat="1" spans="16381:16383">
      <c r="XFA54" s="1"/>
      <c r="XFB54" s="1"/>
      <c r="XFC54" s="1"/>
    </row>
    <row r="55" customFormat="1" spans="16381:16383">
      <c r="XFA55" s="1"/>
      <c r="XFB55" s="1"/>
      <c r="XFC55" s="1"/>
    </row>
    <row r="56" customFormat="1" spans="16381:16383">
      <c r="XFA56" s="1"/>
      <c r="XFB56" s="1"/>
      <c r="XFC56" s="1"/>
    </row>
    <row r="57" customFormat="1" spans="16381:16383">
      <c r="XFA57" s="1"/>
      <c r="XFB57" s="1"/>
      <c r="XFC57" s="1"/>
    </row>
    <row r="58" customFormat="1" spans="16381:16383">
      <c r="XFA58" s="1"/>
      <c r="XFB58" s="1"/>
      <c r="XFC58" s="1"/>
    </row>
    <row r="59" customFormat="1" spans="16381:16383">
      <c r="XFA59" s="1"/>
      <c r="XFB59" s="1"/>
      <c r="XFC59" s="1"/>
    </row>
    <row r="60" customFormat="1" spans="16381:16383">
      <c r="XFA60" s="1"/>
      <c r="XFB60" s="1"/>
      <c r="XFC60" s="1"/>
    </row>
    <row r="61" customFormat="1" spans="16381:16383">
      <c r="XFA61" s="1"/>
      <c r="XFB61" s="1"/>
      <c r="XFC61" s="1"/>
    </row>
    <row r="62" customFormat="1" spans="16381:16383">
      <c r="XFA62" s="1"/>
      <c r="XFB62" s="1"/>
      <c r="XFC62" s="1"/>
    </row>
    <row r="63" customFormat="1" spans="16381:16383">
      <c r="XFA63" s="1"/>
      <c r="XFB63" s="1"/>
      <c r="XFC63" s="1"/>
    </row>
    <row r="64" customFormat="1" spans="16381:16383">
      <c r="XFA64" s="1"/>
      <c r="XFB64" s="1"/>
      <c r="XFC64" s="1"/>
    </row>
    <row r="65" customFormat="1" spans="16381:16383">
      <c r="XFA65" s="1"/>
      <c r="XFB65" s="1"/>
      <c r="XFC65" s="1"/>
    </row>
    <row r="66" customFormat="1" spans="16381:16383">
      <c r="XFA66" s="1"/>
      <c r="XFB66" s="1"/>
      <c r="XFC66" s="1"/>
    </row>
    <row r="67" customFormat="1" spans="16381:16383">
      <c r="XFA67" s="1"/>
      <c r="XFB67" s="1"/>
      <c r="XFC67" s="1"/>
    </row>
    <row r="68" customFormat="1" spans="16381:16383">
      <c r="XFA68" s="1"/>
      <c r="XFB68" s="1"/>
      <c r="XFC68" s="1"/>
    </row>
    <row r="69" customFormat="1" spans="16381:16383">
      <c r="XFA69" s="1"/>
      <c r="XFB69" s="1"/>
      <c r="XFC69" s="1"/>
    </row>
    <row r="70" customFormat="1" spans="16381:16383">
      <c r="XFA70" s="1"/>
      <c r="XFB70" s="1"/>
      <c r="XFC70" s="1"/>
    </row>
    <row r="71" customFormat="1" spans="16381:16383">
      <c r="XFA71" s="1"/>
      <c r="XFB71" s="1"/>
      <c r="XFC71" s="1"/>
    </row>
    <row r="72" customFormat="1" spans="16381:16383">
      <c r="XFA72" s="1"/>
      <c r="XFB72" s="1"/>
      <c r="XFC72" s="1"/>
    </row>
    <row r="73" customFormat="1" spans="16381:16383">
      <c r="XFA73" s="1"/>
      <c r="XFB73" s="1"/>
      <c r="XFC73" s="1"/>
    </row>
    <row r="74" customFormat="1" spans="16381:16383">
      <c r="XFA74" s="1"/>
      <c r="XFB74" s="1"/>
      <c r="XFC74" s="1"/>
    </row>
    <row r="75" customFormat="1" spans="16381:16383">
      <c r="XFA75" s="1"/>
      <c r="XFB75" s="1"/>
      <c r="XFC75" s="1"/>
    </row>
    <row r="76" customFormat="1" spans="16381:16383">
      <c r="XFA76" s="1"/>
      <c r="XFB76" s="1"/>
      <c r="XFC76" s="1"/>
    </row>
    <row r="77" customFormat="1" spans="16381:16383">
      <c r="XFA77" s="1"/>
      <c r="XFB77" s="1"/>
      <c r="XFC77" s="1"/>
    </row>
    <row r="78" customFormat="1" spans="16381:16383">
      <c r="XFA78" s="1"/>
      <c r="XFB78" s="1"/>
      <c r="XFC78" s="1"/>
    </row>
    <row r="79" customFormat="1" spans="16381:16383">
      <c r="XFA79" s="1"/>
      <c r="XFB79" s="1"/>
      <c r="XFC79" s="1"/>
    </row>
  </sheetData>
  <mergeCells count="1">
    <mergeCell ref="A1:G1"/>
  </mergeCells>
  <printOptions horizontalCentered="1"/>
  <pageMargins left="0.472222222222222" right="0.472222222222222" top="0.786805555555556" bottom="0.590277777777778" header="0.5" footer="0.5"/>
  <pageSetup paperSize="9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5"/>
  <sheetViews>
    <sheetView workbookViewId="0">
      <selection activeCell="F20" sqref="F20"/>
    </sheetView>
  </sheetViews>
  <sheetFormatPr defaultColWidth="9" defaultRowHeight="13.5"/>
  <cols>
    <col min="1" max="1" width="5.63333333333333" customWidth="1"/>
    <col min="2" max="2" width="40.6333333333333" customWidth="1"/>
    <col min="3" max="3" width="5.63333333333333" customWidth="1"/>
    <col min="4" max="4" width="10.6333333333333" customWidth="1"/>
    <col min="5" max="7" width="12.6333333333333" customWidth="1"/>
    <col min="16381" max="16384" width="9" style="1"/>
  </cols>
  <sheetData>
    <row r="1" customFormat="1" ht="40" customHeight="1" spans="1:13">
      <c r="A1" s="2" t="s">
        <v>12</v>
      </c>
      <c r="B1" s="2"/>
      <c r="C1" s="2"/>
      <c r="D1" s="3"/>
      <c r="E1" s="3"/>
      <c r="F1" s="3"/>
      <c r="G1" s="2"/>
      <c r="H1" s="4"/>
      <c r="I1" s="4"/>
      <c r="J1" s="4"/>
      <c r="K1" s="4"/>
      <c r="L1" s="4"/>
      <c r="M1" s="4"/>
    </row>
    <row r="2" customFormat="1" ht="20" customHeight="1" spans="1:13">
      <c r="A2" s="5" t="s">
        <v>1</v>
      </c>
      <c r="B2" s="6" t="s">
        <v>20</v>
      </c>
      <c r="C2" s="6" t="s">
        <v>21</v>
      </c>
      <c r="D2" s="7" t="s">
        <v>22</v>
      </c>
      <c r="E2" s="7" t="s">
        <v>23</v>
      </c>
      <c r="F2" s="7" t="s">
        <v>24</v>
      </c>
      <c r="G2" s="8" t="s">
        <v>4</v>
      </c>
      <c r="H2" s="4"/>
      <c r="I2" s="4"/>
      <c r="J2" s="4"/>
      <c r="K2" s="4"/>
      <c r="L2" s="4"/>
      <c r="M2" s="4"/>
    </row>
    <row r="3" customFormat="1" ht="20" customHeight="1" spans="1:13">
      <c r="A3" s="9">
        <v>1</v>
      </c>
      <c r="B3" s="10" t="s">
        <v>25</v>
      </c>
      <c r="C3" s="11" t="s">
        <v>26</v>
      </c>
      <c r="D3" s="12">
        <f>(93985.5193)/1000</f>
        <v>93.9855193</v>
      </c>
      <c r="E3" s="12">
        <v>320</v>
      </c>
      <c r="F3" s="12">
        <f t="shared" ref="F3:F10" si="0">ROUND(D3*E3,2)</f>
        <v>30075.37</v>
      </c>
      <c r="G3" s="13"/>
      <c r="H3" s="4"/>
      <c r="I3" s="4"/>
      <c r="J3" s="4"/>
      <c r="K3" s="4"/>
      <c r="L3" s="4"/>
      <c r="M3" s="4"/>
    </row>
    <row r="4" customFormat="1" ht="20" customHeight="1" spans="1:13">
      <c r="A4" s="9">
        <v>2</v>
      </c>
      <c r="B4" s="10" t="s">
        <v>27</v>
      </c>
      <c r="C4" s="11" t="s">
        <v>26</v>
      </c>
      <c r="D4" s="12">
        <f>76779.675/1000</f>
        <v>76.779675</v>
      </c>
      <c r="E4" s="12">
        <v>340</v>
      </c>
      <c r="F4" s="12">
        <f t="shared" si="0"/>
        <v>26105.09</v>
      </c>
      <c r="G4" s="13"/>
      <c r="H4" s="4"/>
      <c r="I4" s="4"/>
      <c r="J4" s="4"/>
      <c r="K4" s="4"/>
      <c r="L4" s="4"/>
      <c r="M4" s="4"/>
    </row>
    <row r="5" customFormat="1" ht="20" customHeight="1" spans="1:13">
      <c r="A5" s="9">
        <v>3</v>
      </c>
      <c r="B5" s="14" t="s">
        <v>28</v>
      </c>
      <c r="C5" s="11" t="s">
        <v>26</v>
      </c>
      <c r="D5" s="12">
        <f>1.4455*1.5+45.3604+156.3346+102.9971+899.5*1.5</f>
        <v>1656.11035</v>
      </c>
      <c r="E5" s="12">
        <v>74</v>
      </c>
      <c r="F5" s="12">
        <f t="shared" si="0"/>
        <v>122552.17</v>
      </c>
      <c r="G5" s="13"/>
      <c r="H5" s="4"/>
      <c r="I5" s="4"/>
      <c r="J5" s="4"/>
      <c r="K5" s="4"/>
      <c r="L5" s="4"/>
      <c r="M5" s="4"/>
    </row>
    <row r="6" customFormat="1" ht="20" customHeight="1" spans="1:13">
      <c r="A6" s="9">
        <v>4</v>
      </c>
      <c r="B6" s="14" t="s">
        <v>29</v>
      </c>
      <c r="C6" s="11" t="s">
        <v>26</v>
      </c>
      <c r="D6" s="12">
        <f>381.888+291.3911+258.4292+3.4459+10.15</f>
        <v>945.3042</v>
      </c>
      <c r="E6" s="12">
        <v>70</v>
      </c>
      <c r="F6" s="12">
        <f t="shared" si="0"/>
        <v>66171.29</v>
      </c>
      <c r="G6" s="13"/>
      <c r="H6" s="4"/>
      <c r="I6" s="4"/>
      <c r="J6" s="4"/>
      <c r="K6" s="4"/>
      <c r="L6" s="4"/>
      <c r="M6" s="4"/>
    </row>
    <row r="7" customFormat="1" ht="20" customHeight="1" spans="1:13">
      <c r="A7" s="9">
        <v>5</v>
      </c>
      <c r="B7" s="14" t="s">
        <v>30</v>
      </c>
      <c r="C7" s="15" t="s">
        <v>31</v>
      </c>
      <c r="D7" s="12">
        <v>350</v>
      </c>
      <c r="E7" s="12">
        <v>75</v>
      </c>
      <c r="F7" s="12">
        <f t="shared" si="0"/>
        <v>26250</v>
      </c>
      <c r="G7" s="16"/>
      <c r="H7" s="4"/>
      <c r="I7" s="4"/>
      <c r="J7" s="32"/>
      <c r="K7" s="4"/>
      <c r="L7" s="4"/>
      <c r="M7" s="4"/>
    </row>
    <row r="8" customFormat="1" ht="20" customHeight="1" spans="1:13">
      <c r="A8" s="9">
        <v>6</v>
      </c>
      <c r="B8" s="17" t="s">
        <v>32</v>
      </c>
      <c r="C8" s="18" t="s">
        <v>26</v>
      </c>
      <c r="D8" s="19">
        <v>6.61</v>
      </c>
      <c r="E8" s="19">
        <v>3300</v>
      </c>
      <c r="F8" s="19">
        <f t="shared" si="0"/>
        <v>21813</v>
      </c>
      <c r="G8" s="16"/>
      <c r="H8" s="4"/>
      <c r="I8" s="4"/>
      <c r="J8" s="32"/>
      <c r="K8" s="4"/>
      <c r="L8" s="4"/>
      <c r="M8" s="4"/>
    </row>
    <row r="9" customFormat="1" ht="20" customHeight="1" spans="1:13">
      <c r="A9" s="9">
        <v>7</v>
      </c>
      <c r="B9" s="10" t="s">
        <v>59</v>
      </c>
      <c r="C9" s="11" t="s">
        <v>34</v>
      </c>
      <c r="D9" s="12">
        <v>456</v>
      </c>
      <c r="E9" s="12">
        <v>114</v>
      </c>
      <c r="F9" s="12">
        <f t="shared" si="0"/>
        <v>51984</v>
      </c>
      <c r="G9" s="16"/>
      <c r="H9" s="4"/>
      <c r="I9" s="4"/>
      <c r="J9" s="32"/>
      <c r="K9" s="4"/>
      <c r="L9" s="4"/>
      <c r="M9" s="4"/>
    </row>
    <row r="10" customFormat="1" ht="20" customHeight="1" spans="1:13">
      <c r="A10" s="9">
        <v>8</v>
      </c>
      <c r="B10" s="14" t="s">
        <v>36</v>
      </c>
      <c r="C10" s="11" t="s">
        <v>34</v>
      </c>
      <c r="D10" s="12">
        <v>1212</v>
      </c>
      <c r="E10" s="12">
        <v>46</v>
      </c>
      <c r="F10" s="12">
        <f t="shared" si="0"/>
        <v>55752</v>
      </c>
      <c r="G10" s="16"/>
      <c r="H10" s="4"/>
      <c r="I10" s="4"/>
      <c r="J10" s="32"/>
      <c r="K10" s="4"/>
      <c r="L10" s="4"/>
      <c r="M10" s="4"/>
    </row>
    <row r="11" customFormat="1" ht="20" customHeight="1" spans="1:13">
      <c r="A11" s="9">
        <v>9</v>
      </c>
      <c r="B11" s="14" t="s">
        <v>64</v>
      </c>
      <c r="C11" s="11" t="s">
        <v>38</v>
      </c>
      <c r="D11" s="20">
        <v>6</v>
      </c>
      <c r="E11" s="20">
        <v>147</v>
      </c>
      <c r="F11" s="12">
        <f t="shared" ref="F11:F20" si="1">ROUND(D11*E11,2)</f>
        <v>882</v>
      </c>
      <c r="G11" s="16"/>
      <c r="H11" s="4"/>
      <c r="I11" s="4"/>
      <c r="J11" s="32"/>
      <c r="K11" s="4"/>
      <c r="L11" s="4"/>
      <c r="M11" s="4"/>
    </row>
    <row r="12" customFormat="1" ht="20" customHeight="1" spans="1:13">
      <c r="A12" s="9">
        <v>10</v>
      </c>
      <c r="B12" s="14" t="s">
        <v>37</v>
      </c>
      <c r="C12" s="11" t="s">
        <v>38</v>
      </c>
      <c r="D12" s="20">
        <v>3</v>
      </c>
      <c r="E12" s="20">
        <v>560</v>
      </c>
      <c r="F12" s="12">
        <f t="shared" si="1"/>
        <v>1680</v>
      </c>
      <c r="G12" s="16"/>
      <c r="H12" s="4"/>
      <c r="I12" s="4"/>
      <c r="J12" s="32"/>
      <c r="K12" s="4"/>
      <c r="L12" s="4"/>
      <c r="M12" s="4"/>
    </row>
    <row r="13" customFormat="1" ht="20" customHeight="1" spans="1:13">
      <c r="A13" s="9">
        <v>11</v>
      </c>
      <c r="B13" s="14" t="s">
        <v>39</v>
      </c>
      <c r="C13" s="11" t="s">
        <v>38</v>
      </c>
      <c r="D13" s="20">
        <f>39-8</f>
        <v>31</v>
      </c>
      <c r="E13" s="20">
        <v>500</v>
      </c>
      <c r="F13" s="12">
        <f t="shared" si="1"/>
        <v>15500</v>
      </c>
      <c r="G13" s="16"/>
      <c r="H13" s="4"/>
      <c r="I13" s="4"/>
      <c r="J13" s="32"/>
      <c r="K13" s="4"/>
      <c r="L13" s="4"/>
      <c r="M13" s="4"/>
    </row>
    <row r="14" customFormat="1" ht="20" customHeight="1" spans="1:13">
      <c r="A14" s="9">
        <v>12</v>
      </c>
      <c r="B14" s="14" t="s">
        <v>40</v>
      </c>
      <c r="C14" s="11" t="s">
        <v>38</v>
      </c>
      <c r="D14" s="20">
        <v>8</v>
      </c>
      <c r="E14" s="20">
        <v>268</v>
      </c>
      <c r="F14" s="12">
        <f t="shared" si="1"/>
        <v>2144</v>
      </c>
      <c r="G14" s="16"/>
      <c r="H14" s="4"/>
      <c r="I14" s="4"/>
      <c r="J14" s="32"/>
      <c r="K14" s="4"/>
      <c r="L14" s="4"/>
      <c r="M14" s="4"/>
    </row>
    <row r="15" customFormat="1" ht="20" customHeight="1" spans="1:13">
      <c r="A15" s="9">
        <v>13</v>
      </c>
      <c r="B15" s="14" t="s">
        <v>41</v>
      </c>
      <c r="C15" s="15" t="s">
        <v>31</v>
      </c>
      <c r="D15" s="20">
        <v>29.29</v>
      </c>
      <c r="E15" s="20">
        <v>930</v>
      </c>
      <c r="F15" s="12">
        <f t="shared" si="1"/>
        <v>27239.7</v>
      </c>
      <c r="G15" s="16"/>
      <c r="H15" s="4"/>
      <c r="I15" s="4"/>
      <c r="J15" s="32"/>
      <c r="K15" s="4"/>
      <c r="L15" s="4"/>
      <c r="M15" s="4"/>
    </row>
    <row r="16" customFormat="1" ht="20" customHeight="1" spans="1:13">
      <c r="A16" s="9">
        <v>14</v>
      </c>
      <c r="B16" s="14" t="s">
        <v>42</v>
      </c>
      <c r="C16" s="15" t="s">
        <v>31</v>
      </c>
      <c r="D16" s="20">
        <v>23.432</v>
      </c>
      <c r="E16" s="20">
        <v>1020</v>
      </c>
      <c r="F16" s="12">
        <f t="shared" si="1"/>
        <v>23900.64</v>
      </c>
      <c r="G16" s="16"/>
      <c r="H16" s="4"/>
      <c r="I16" s="4"/>
      <c r="J16" s="32"/>
      <c r="K16" s="4"/>
      <c r="L16" s="4"/>
      <c r="M16" s="4"/>
    </row>
    <row r="17" customFormat="1" ht="20" customHeight="1" spans="1:13">
      <c r="A17" s="9">
        <v>15</v>
      </c>
      <c r="B17" s="14" t="s">
        <v>65</v>
      </c>
      <c r="C17" s="11" t="s">
        <v>34</v>
      </c>
      <c r="D17" s="20">
        <v>72</v>
      </c>
      <c r="E17" s="20">
        <v>336.3</v>
      </c>
      <c r="F17" s="12">
        <f t="shared" si="1"/>
        <v>24213.6</v>
      </c>
      <c r="G17" s="16"/>
      <c r="H17" s="4"/>
      <c r="I17" s="4"/>
      <c r="J17" s="32"/>
      <c r="K17" s="4"/>
      <c r="L17" s="4"/>
      <c r="M17" s="4"/>
    </row>
    <row r="18" customFormat="1" ht="20" customHeight="1" spans="1:13">
      <c r="A18" s="21" t="s">
        <v>47</v>
      </c>
      <c r="B18" s="22" t="s">
        <v>48</v>
      </c>
      <c r="C18" s="23"/>
      <c r="D18" s="24"/>
      <c r="E18" s="24"/>
      <c r="F18" s="24">
        <f>SUM(F3:F17)</f>
        <v>496262.86</v>
      </c>
      <c r="G18" s="16"/>
      <c r="H18" s="4"/>
      <c r="I18" s="4"/>
      <c r="J18" s="32"/>
      <c r="K18" s="4"/>
      <c r="L18" s="4"/>
      <c r="M18" s="4"/>
    </row>
    <row r="19" customFormat="1" ht="20" customHeight="1" spans="1:13">
      <c r="A19" s="21" t="s">
        <v>49</v>
      </c>
      <c r="B19" s="22" t="s">
        <v>50</v>
      </c>
      <c r="C19" s="23" t="s">
        <v>51</v>
      </c>
      <c r="D19" s="24">
        <v>13</v>
      </c>
      <c r="E19" s="24"/>
      <c r="F19" s="24">
        <f>ROUND(F18*D19/100,2)</f>
        <v>64514.17</v>
      </c>
      <c r="G19" s="16"/>
      <c r="H19" s="4"/>
      <c r="I19" s="4"/>
      <c r="J19" s="32"/>
      <c r="K19" s="4"/>
      <c r="L19" s="4"/>
      <c r="M19" s="4"/>
    </row>
    <row r="20" customFormat="1" ht="20" customHeight="1" spans="1:13">
      <c r="A20" s="21" t="s">
        <v>52</v>
      </c>
      <c r="B20" s="22" t="s">
        <v>53</v>
      </c>
      <c r="C20" s="15"/>
      <c r="D20" s="20"/>
      <c r="E20" s="20"/>
      <c r="F20" s="24">
        <f>F18+F19</f>
        <v>560777.03</v>
      </c>
      <c r="G20" s="16"/>
      <c r="H20" s="4"/>
      <c r="I20" s="4"/>
      <c r="J20" s="4"/>
      <c r="K20" s="4"/>
      <c r="L20" s="4"/>
      <c r="M20" s="4"/>
    </row>
    <row r="21" customFormat="1" ht="20" customHeight="1" spans="1:13">
      <c r="A21" s="25"/>
      <c r="B21" s="14"/>
      <c r="C21" s="15"/>
      <c r="D21" s="20"/>
      <c r="E21" s="20"/>
      <c r="F21" s="20"/>
      <c r="G21" s="16"/>
      <c r="H21" s="4"/>
      <c r="I21" s="4"/>
      <c r="J21" s="4"/>
      <c r="K21" s="4"/>
      <c r="L21" s="4"/>
      <c r="M21" s="4"/>
    </row>
    <row r="22" customFormat="1" ht="20" customHeight="1" spans="1:13">
      <c r="A22" s="25"/>
      <c r="B22" s="14"/>
      <c r="C22" s="15"/>
      <c r="D22" s="20"/>
      <c r="E22" s="20"/>
      <c r="F22" s="20"/>
      <c r="G22" s="16"/>
      <c r="H22" s="4"/>
      <c r="I22" s="4"/>
      <c r="J22" s="4"/>
      <c r="K22" s="4"/>
      <c r="L22" s="4"/>
      <c r="M22" s="4"/>
    </row>
    <row r="23" customFormat="1" ht="20" customHeight="1" spans="1:13">
      <c r="A23" s="25"/>
      <c r="B23" s="14"/>
      <c r="C23" s="15"/>
      <c r="D23" s="20"/>
      <c r="E23" s="20"/>
      <c r="F23" s="20"/>
      <c r="G23" s="16"/>
      <c r="H23" s="4"/>
      <c r="I23" s="4"/>
      <c r="J23" s="4"/>
      <c r="K23" s="4"/>
      <c r="L23" s="4"/>
      <c r="M23" s="4"/>
    </row>
    <row r="24" customFormat="1" ht="20" customHeight="1" spans="1:13">
      <c r="A24" s="25"/>
      <c r="B24" s="14"/>
      <c r="C24" s="15"/>
      <c r="D24" s="20"/>
      <c r="E24" s="20"/>
      <c r="F24" s="20"/>
      <c r="G24" s="16"/>
      <c r="H24" s="4"/>
      <c r="I24" s="4"/>
      <c r="J24" s="4"/>
      <c r="K24" s="4"/>
      <c r="L24" s="4"/>
      <c r="M24" s="4"/>
    </row>
    <row r="25" customFormat="1" ht="20" customHeight="1" spans="1:13">
      <c r="A25" s="26"/>
      <c r="B25" s="27" t="s">
        <v>54</v>
      </c>
      <c r="C25" s="28"/>
      <c r="D25" s="29"/>
      <c r="E25" s="29"/>
      <c r="F25" s="30"/>
      <c r="G25" s="31"/>
      <c r="H25" s="4"/>
      <c r="I25" s="4"/>
      <c r="J25" s="4"/>
      <c r="K25" s="4"/>
      <c r="L25" s="4"/>
      <c r="M25" s="4"/>
    </row>
    <row r="26" customFormat="1" ht="20" customHeight="1"/>
    <row r="27" customFormat="1" ht="20" customHeight="1"/>
    <row r="28" customFormat="1" ht="20" customHeight="1"/>
    <row r="29" customFormat="1" ht="18" customHeight="1"/>
    <row r="30" customFormat="1" ht="18" customHeight="1"/>
    <row r="31" customFormat="1" ht="18" customHeight="1"/>
    <row r="32" customFormat="1" ht="18" customHeight="1"/>
    <row r="33" customFormat="1" ht="18" customHeight="1"/>
    <row r="34" customFormat="1" ht="18" customHeight="1"/>
    <row r="35" customFormat="1" ht="18" customHeight="1"/>
    <row r="36" customFormat="1" ht="18" customHeight="1"/>
    <row r="37" customFormat="1" ht="18" customHeight="1"/>
    <row r="38" customFormat="1" ht="18" customHeight="1"/>
    <row r="39" customFormat="1" ht="18" customHeight="1"/>
    <row r="40" customFormat="1" ht="18" customHeight="1"/>
    <row r="41" customFormat="1" ht="18" customHeight="1"/>
    <row r="42" customFormat="1" ht="18" customHeight="1"/>
    <row r="43" customFormat="1" ht="18" customHeight="1"/>
    <row r="44" customFormat="1" ht="18" customHeight="1"/>
    <row r="45" customFormat="1" ht="18" customHeight="1"/>
    <row r="46" customFormat="1" spans="16381:16383">
      <c r="XFA46" s="1"/>
      <c r="XFB46" s="1"/>
      <c r="XFC46" s="1"/>
    </row>
    <row r="47" customFormat="1" spans="16381:16383">
      <c r="XFA47" s="1"/>
      <c r="XFB47" s="1"/>
      <c r="XFC47" s="1"/>
    </row>
    <row r="48" customFormat="1" spans="16381:16383">
      <c r="XFA48" s="1"/>
      <c r="XFB48" s="1"/>
      <c r="XFC48" s="1"/>
    </row>
    <row r="49" customFormat="1" spans="16381:16383">
      <c r="XFA49" s="1"/>
      <c r="XFB49" s="1"/>
      <c r="XFC49" s="1"/>
    </row>
    <row r="50" customFormat="1" spans="16381:16383">
      <c r="XFA50" s="1"/>
      <c r="XFB50" s="1"/>
      <c r="XFC50" s="1"/>
    </row>
    <row r="51" customFormat="1" spans="16381:16383">
      <c r="XFA51" s="1"/>
      <c r="XFB51" s="1"/>
      <c r="XFC51" s="1"/>
    </row>
    <row r="52" customFormat="1" spans="16381:16383">
      <c r="XFA52" s="1"/>
      <c r="XFB52" s="1"/>
      <c r="XFC52" s="1"/>
    </row>
    <row r="53" customFormat="1" spans="16381:16383">
      <c r="XFA53" s="1"/>
      <c r="XFB53" s="1"/>
      <c r="XFC53" s="1"/>
    </row>
    <row r="54" customFormat="1" spans="16381:16383">
      <c r="XFA54" s="1"/>
      <c r="XFB54" s="1"/>
      <c r="XFC54" s="1"/>
    </row>
    <row r="55" customFormat="1" spans="16381:16383">
      <c r="XFA55" s="1"/>
      <c r="XFB55" s="1"/>
      <c r="XFC55" s="1"/>
    </row>
    <row r="56" customFormat="1" spans="16381:16383">
      <c r="XFA56" s="1"/>
      <c r="XFB56" s="1"/>
      <c r="XFC56" s="1"/>
    </row>
    <row r="57" customFormat="1" spans="16381:16383">
      <c r="XFA57" s="1"/>
      <c r="XFB57" s="1"/>
      <c r="XFC57" s="1"/>
    </row>
    <row r="58" customFormat="1" spans="16381:16383">
      <c r="XFA58" s="1"/>
      <c r="XFB58" s="1"/>
      <c r="XFC58" s="1"/>
    </row>
    <row r="59" customFormat="1" spans="16381:16383">
      <c r="XFA59" s="1"/>
      <c r="XFB59" s="1"/>
      <c r="XFC59" s="1"/>
    </row>
    <row r="60" customFormat="1" spans="16381:16383">
      <c r="XFA60" s="1"/>
      <c r="XFB60" s="1"/>
      <c r="XFC60" s="1"/>
    </row>
    <row r="61" customFormat="1" spans="16381:16383">
      <c r="XFA61" s="1"/>
      <c r="XFB61" s="1"/>
      <c r="XFC61" s="1"/>
    </row>
    <row r="62" customFormat="1" spans="16381:16383">
      <c r="XFA62" s="1"/>
      <c r="XFB62" s="1"/>
      <c r="XFC62" s="1"/>
    </row>
    <row r="63" customFormat="1" spans="16381:16383">
      <c r="XFA63" s="1"/>
      <c r="XFB63" s="1"/>
      <c r="XFC63" s="1"/>
    </row>
    <row r="64" customFormat="1" spans="16381:16383">
      <c r="XFA64" s="1"/>
      <c r="XFB64" s="1"/>
      <c r="XFC64" s="1"/>
    </row>
    <row r="65" customFormat="1" spans="16381:16383">
      <c r="XFA65" s="1"/>
      <c r="XFB65" s="1"/>
      <c r="XFC65" s="1"/>
    </row>
    <row r="66" customFormat="1" spans="16381:16383">
      <c r="XFA66" s="1"/>
      <c r="XFB66" s="1"/>
      <c r="XFC66" s="1"/>
    </row>
    <row r="67" customFormat="1" spans="16381:16383">
      <c r="XFA67" s="1"/>
      <c r="XFB67" s="1"/>
      <c r="XFC67" s="1"/>
    </row>
    <row r="68" customFormat="1" spans="16381:16383">
      <c r="XFA68" s="1"/>
      <c r="XFB68" s="1"/>
      <c r="XFC68" s="1"/>
    </row>
    <row r="69" customFormat="1" spans="16381:16383">
      <c r="XFA69" s="1"/>
      <c r="XFB69" s="1"/>
      <c r="XFC69" s="1"/>
    </row>
    <row r="70" customFormat="1" spans="16381:16383">
      <c r="XFA70" s="1"/>
      <c r="XFB70" s="1"/>
      <c r="XFC70" s="1"/>
    </row>
    <row r="71" customFormat="1" spans="16381:16383">
      <c r="XFA71" s="1"/>
      <c r="XFB71" s="1"/>
      <c r="XFC71" s="1"/>
    </row>
    <row r="72" customFormat="1" spans="16381:16383">
      <c r="XFA72" s="1"/>
      <c r="XFB72" s="1"/>
      <c r="XFC72" s="1"/>
    </row>
    <row r="73" customFormat="1" spans="16381:16383">
      <c r="XFA73" s="1"/>
      <c r="XFB73" s="1"/>
      <c r="XFC73" s="1"/>
    </row>
    <row r="74" customFormat="1" spans="16381:16383">
      <c r="XFA74" s="1"/>
      <c r="XFB74" s="1"/>
      <c r="XFC74" s="1"/>
    </row>
    <row r="75" customFormat="1" spans="16381:16383">
      <c r="XFA75" s="1"/>
      <c r="XFB75" s="1"/>
      <c r="XFC75" s="1"/>
    </row>
  </sheetData>
  <mergeCells count="1">
    <mergeCell ref="A1:G1"/>
  </mergeCells>
  <printOptions horizontalCentered="1"/>
  <pageMargins left="0.472222222222222" right="0.472222222222222" top="0.786805555555556" bottom="0.59027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汇总表</vt:lpstr>
      <vt:lpstr>郁山镇排水工程--材料费 </vt:lpstr>
      <vt:lpstr>芦塘乡排水工程--材料费  </vt:lpstr>
      <vt:lpstr>联合乡排水工程--材料费 </vt:lpstr>
      <vt:lpstr>乔梓乡排水工程--材料费 </vt:lpstr>
      <vt:lpstr>三义乡排水工程--材料费</vt:lpstr>
      <vt:lpstr>岩东乡排水工程--材料费</vt:lpstr>
      <vt:lpstr>平安镇排水工程--材料费</vt:lpstr>
      <vt:lpstr>连湖镇排水工程--材料费</vt:lpstr>
      <vt:lpstr>桑柘镇排水工程--材料费</vt:lpstr>
      <vt:lpstr>新田镇排水工程--材料费</vt:lpstr>
      <vt:lpstr>诸佛乡排水工程--材料费</vt:lpstr>
      <vt:lpstr>石盘乡排水工程--材料费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周双双</cp:lastModifiedBy>
  <dcterms:created xsi:type="dcterms:W3CDTF">2025-04-08T15:37:00Z</dcterms:created>
  <dcterms:modified xsi:type="dcterms:W3CDTF">2026-05-08T08:02:05Z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EF8F7F9940B24E11AF8BDA3131E16806_13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