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 tabRatio="894" activeTab="3"/>
  </bookViews>
  <sheets>
    <sheet name="汇总表" sheetId="1" r:id="rId1"/>
    <sheet name="包1（路基）" sheetId="2" r:id="rId2"/>
    <sheet name="包2（材料）" sheetId="12" r:id="rId3"/>
    <sheet name="包4" sheetId="21" r:id="rId4"/>
    <sheet name="包5" sheetId="3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<sst xmlns="http://schemas.openxmlformats.org/spreadsheetml/2006/main" count="193" uniqueCount="107">
  <si>
    <t>彭水自治县G319线刘家湾至城北隧道段路面修复养护工程汇总表</t>
  </si>
  <si>
    <t>序号</t>
  </si>
  <si>
    <t>分组工程名称</t>
  </si>
  <si>
    <t>中标金额（元）</t>
  </si>
  <si>
    <t>发包金额（含税）</t>
  </si>
  <si>
    <t>增值税前利润</t>
  </si>
  <si>
    <t>增值税后利润</t>
  </si>
  <si>
    <t>税后利润率</t>
  </si>
  <si>
    <t>备注</t>
  </si>
  <si>
    <t>一</t>
  </si>
  <si>
    <t>彭水自治县G319线刘家湾至城北隧道段路面修复养护工程</t>
  </si>
  <si>
    <t>包1（路基）--劳务分包</t>
  </si>
  <si>
    <t>包2（砂石、水泥）--大宗材料</t>
  </si>
  <si>
    <t>包3（沥青路面）--专业分包</t>
  </si>
  <si>
    <t>工程保险费、安全生产费</t>
  </si>
  <si>
    <t>二</t>
  </si>
  <si>
    <t>彭水自治县G319线K2203+795-K2275+963安全设施精细化提升工程</t>
  </si>
  <si>
    <t>包4（波形护栏）--专业分包</t>
  </si>
  <si>
    <t>包5（交通标线、标志）--专业分包</t>
  </si>
  <si>
    <t>合计</t>
  </si>
  <si>
    <t>彭水自治县G319线刘家湾至城北隧道段路面修复养护工程劳务费</t>
  </si>
  <si>
    <t>单位：元</t>
  </si>
  <si>
    <t>项目名称</t>
  </si>
  <si>
    <t>单位</t>
  </si>
  <si>
    <t>工程量</t>
  </si>
  <si>
    <t>单价</t>
  </si>
  <si>
    <t>合价</t>
  </si>
  <si>
    <t>劳务费用</t>
  </si>
  <si>
    <t>（一）</t>
  </si>
  <si>
    <t>清单 第200章 路基</t>
  </si>
  <si>
    <t>铣刨既有面层（3cm厚）</t>
  </si>
  <si>
    <t>m2</t>
  </si>
  <si>
    <t>铣刨既有面层（1.3cm厚）</t>
  </si>
  <si>
    <t>挖除沥青面层</t>
  </si>
  <si>
    <t>m3</t>
  </si>
  <si>
    <t>挖除旧路稳定土基层</t>
  </si>
  <si>
    <t>挖除土基</t>
  </si>
  <si>
    <t>砂砾（特殊路基处理，含砂砾材料费）</t>
  </si>
  <si>
    <t>C20现浇混凝土（边沟）</t>
  </si>
  <si>
    <t>边沟清淤（含弃渣外运费）</t>
  </si>
  <si>
    <t>m</t>
  </si>
  <si>
    <t>（二）</t>
  </si>
  <si>
    <t>清单 第300章 路面</t>
  </si>
  <si>
    <t>25cm厚C20早强混凝土基层</t>
  </si>
  <si>
    <t>C25混凝土路肩及原孔混凝土</t>
  </si>
  <si>
    <t>APP-Ⅰ-PY-PE-4mm改性沥青防水卷材（含材料）</t>
  </si>
  <si>
    <t>旧水泥混凝土路面拉毛（含清表）</t>
  </si>
  <si>
    <t>（三）</t>
  </si>
  <si>
    <t>清单 第400章 桥梁、涵洞</t>
  </si>
  <si>
    <t>C40混凝土桥面铺装</t>
  </si>
  <si>
    <t>挖除4cm厚沥青混凝土面层</t>
  </si>
  <si>
    <t>挖除8cm厚C40水泥混凝土</t>
  </si>
  <si>
    <t>圆管涵清理</t>
  </si>
  <si>
    <t>盖板涵清理</t>
  </si>
  <si>
    <t>（四）</t>
  </si>
  <si>
    <t>清单 第500章 隧道</t>
  </si>
  <si>
    <t>（五）</t>
  </si>
  <si>
    <t>其他</t>
  </si>
  <si>
    <t>余方弃置 1km</t>
  </si>
  <si>
    <t>余方弃置 每增运1km</t>
  </si>
  <si>
    <t>安全生产费</t>
  </si>
  <si>
    <t>%</t>
  </si>
  <si>
    <t>三</t>
  </si>
  <si>
    <t>税金</t>
  </si>
  <si>
    <t>四</t>
  </si>
  <si>
    <t>总计</t>
  </si>
  <si>
    <t>包2（材料）</t>
  </si>
  <si>
    <t>材料单价</t>
  </si>
  <si>
    <t>材料合价</t>
  </si>
  <si>
    <t>税率</t>
  </si>
  <si>
    <t>含税材料合价</t>
  </si>
  <si>
    <t>商品混凝土C20早强</t>
  </si>
  <si>
    <t>商品混凝土C25</t>
  </si>
  <si>
    <t>商品混凝土C40</t>
  </si>
  <si>
    <t>砂</t>
  </si>
  <si>
    <t>碎石</t>
  </si>
  <si>
    <t>水泥</t>
  </si>
  <si>
    <t>t</t>
  </si>
  <si>
    <t>C20早强混凝土</t>
  </si>
  <si>
    <t>C40混凝土</t>
  </si>
  <si>
    <t>彭水自治县G319线K2203+795-K2275+963安全设施精细化提升工程（波形护栏）专业分包</t>
  </si>
  <si>
    <t>工程费用</t>
  </si>
  <si>
    <t>第600章  交通安全设施及预埋管线</t>
  </si>
  <si>
    <t>Gr-B-2E波形梁钢护栏（含轮廓标、反光膜）</t>
  </si>
  <si>
    <t>Gr-A-4E波形梁钢护栏（含轮廓标、反光膜）</t>
  </si>
  <si>
    <t>道口标注</t>
  </si>
  <si>
    <t>根</t>
  </si>
  <si>
    <t>拆除老护栏（含运输至业主指定位置）</t>
  </si>
  <si>
    <t>彭水自治县G319线K2203+795-K2275+963安全设施精细化提升工程（交通标线、标志）专业分包</t>
  </si>
  <si>
    <t>反光型热熔涂料路面标线</t>
  </si>
  <si>
    <t>反光突起型（振动）热熔涂料路面标线</t>
  </si>
  <si>
    <t>清除原有标线</t>
  </si>
  <si>
    <t>新建彩色抗滑薄层</t>
  </si>
  <si>
    <t>清除旧抗滑薄层</t>
  </si>
  <si>
    <t>拆除更换单柱式</t>
  </si>
  <si>
    <t>套</t>
  </si>
  <si>
    <t>新增单柱式</t>
  </si>
  <si>
    <t>更换单柱式版面</t>
  </si>
  <si>
    <t>拆除更换单悬臂</t>
  </si>
  <si>
    <t>块</t>
  </si>
  <si>
    <t>更换单悬臂式版面</t>
  </si>
  <si>
    <t>混凝土里程碑</t>
  </si>
  <si>
    <t>个</t>
  </si>
  <si>
    <t>混凝土百米桩</t>
  </si>
  <si>
    <t>拆除标志牌</t>
  </si>
  <si>
    <t>独立式线形诱导标</t>
  </si>
  <si>
    <t>拆除独立式线形诱导标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</si>
</sst>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9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 wrapText="1"/>
    </xf>
    <xf numFmtId="10" fontId="3" fillId="0" borderId="13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10" fontId="1" fillId="0" borderId="14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0" fontId="3" fillId="0" borderId="15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0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10" fontId="1" fillId="0" borderId="8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left" vertical="center" wrapText="1"/>
    </xf>
    <xf numFmtId="176" fontId="3" fillId="0" borderId="9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 wrapText="1"/>
    </xf>
    <xf numFmtId="176" fontId="1" fillId="0" borderId="11" xfId="0" applyNumberFormat="1" applyFont="1" applyFill="1" applyBorder="1" applyAlignment="1">
      <alignment horizontal="center" vertical="center" wrapText="1"/>
    </xf>
    <xf numFmtId="10" fontId="1" fillId="0" borderId="11" xfId="0" applyNumberFormat="1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zoomScale="160" zoomScaleNormal="160" workbookViewId="0">
      <selection activeCell="G5" sqref="G5"/>
    </sheetView>
  </sheetViews>
  <sheetFormatPr defaultColWidth="9" defaultRowHeight="13.5"/>
  <cols>
    <col min="1" max="1" width="5.75" style="73" customWidth="1"/>
    <col min="2" max="2" width="36.625" style="73" customWidth="1"/>
    <col min="3" max="6" width="14.625" style="74" customWidth="1"/>
    <col min="7" max="7" width="12.625" style="74" customWidth="1"/>
    <col min="8" max="8" width="20.625" style="74" customWidth="1"/>
    <col min="9" max="9" width="11.125" style="73"/>
    <col min="10" max="10" width="10.125" style="73"/>
    <col min="11" max="16" width="9" style="73"/>
    <col min="17" max="16384" width="9" style="54"/>
  </cols>
  <sheetData>
    <row r="1" s="54" customFormat="1" ht="60" customHeight="1" spans="1:16">
      <c r="A1" s="3" t="s">
        <v>0</v>
      </c>
      <c r="B1" s="3"/>
      <c r="C1" s="4"/>
      <c r="D1" s="4"/>
      <c r="E1" s="4"/>
      <c r="F1" s="4"/>
      <c r="G1" s="4"/>
      <c r="H1" s="4"/>
      <c r="I1" s="73"/>
      <c r="J1" s="73"/>
      <c r="K1" s="73"/>
      <c r="L1" s="73"/>
      <c r="M1" s="73"/>
      <c r="N1" s="73"/>
      <c r="O1" s="73"/>
      <c r="P1" s="73"/>
    </row>
    <row r="2" s="54" customFormat="1" ht="20" customHeight="1" spans="1:16">
      <c r="A2" s="61" t="s">
        <v>1</v>
      </c>
      <c r="B2" s="62" t="s">
        <v>2</v>
      </c>
      <c r="C2" s="75" t="s">
        <v>3</v>
      </c>
      <c r="D2" s="76" t="s">
        <v>4</v>
      </c>
      <c r="E2" s="76" t="s">
        <v>5</v>
      </c>
      <c r="F2" s="77" t="s">
        <v>6</v>
      </c>
      <c r="G2" s="77" t="s">
        <v>7</v>
      </c>
      <c r="H2" s="78" t="s">
        <v>8</v>
      </c>
      <c r="I2" s="73"/>
      <c r="J2" s="73"/>
      <c r="K2" s="73"/>
      <c r="L2" s="73"/>
      <c r="M2" s="73"/>
      <c r="N2" s="73"/>
      <c r="O2" s="73"/>
      <c r="P2" s="73"/>
    </row>
    <row r="3" s="54" customFormat="1" ht="30" customHeight="1" spans="1:16">
      <c r="A3" s="27" t="s">
        <v>9</v>
      </c>
      <c r="B3" s="17" t="s">
        <v>10</v>
      </c>
      <c r="C3" s="79">
        <f t="shared" ref="C3:F3" si="0">SUM(C4:C7)</f>
        <v>19130034</v>
      </c>
      <c r="D3" s="79">
        <f t="shared" si="0"/>
        <v>18963612.73</v>
      </c>
      <c r="E3" s="79">
        <f t="shared" si="0"/>
        <v>166421.27</v>
      </c>
      <c r="F3" s="79">
        <f t="shared" si="0"/>
        <v>191869.98</v>
      </c>
      <c r="G3" s="80">
        <f>F3/C3</f>
        <v>0.0100297772601972</v>
      </c>
      <c r="H3" s="81"/>
      <c r="I3" s="73"/>
      <c r="J3" s="73"/>
      <c r="K3" s="73"/>
      <c r="L3" s="73"/>
      <c r="M3" s="73"/>
      <c r="N3" s="73"/>
      <c r="O3" s="73"/>
      <c r="P3" s="73"/>
    </row>
    <row r="4" s="71" customFormat="1" ht="20" customHeight="1" spans="1:16">
      <c r="A4" s="37">
        <v>1</v>
      </c>
      <c r="B4" s="23" t="s">
        <v>11</v>
      </c>
      <c r="C4" s="82">
        <f>2190629-C5+74503</f>
        <v>1364522.86</v>
      </c>
      <c r="D4" s="82">
        <f>'包1（路基）'!F32</f>
        <v>1422693.97</v>
      </c>
      <c r="E4" s="82">
        <f t="shared" ref="E4:E12" si="1">C4-D4</f>
        <v>-58171.1099999999</v>
      </c>
      <c r="F4" s="82">
        <f>ROUND(E4*0.91,2)</f>
        <v>-52935.71</v>
      </c>
      <c r="G4" s="83">
        <f t="shared" ref="G4:G12" si="2">F4/C4</f>
        <v>-0.0387943005953011</v>
      </c>
      <c r="H4" s="84"/>
      <c r="I4" s="73"/>
      <c r="J4" s="73"/>
      <c r="K4" s="73"/>
      <c r="L4" s="73"/>
      <c r="M4" s="73"/>
      <c r="N4" s="73"/>
      <c r="O4" s="73"/>
      <c r="P4" s="73"/>
    </row>
    <row r="5" s="71" customFormat="1" ht="20" customHeight="1" spans="1:16">
      <c r="A5" s="37">
        <v>2</v>
      </c>
      <c r="B5" s="23" t="s">
        <v>12</v>
      </c>
      <c r="C5" s="82">
        <v>900609.14</v>
      </c>
      <c r="D5" s="82">
        <f>'包2（材料）'!I6</f>
        <v>676016.76</v>
      </c>
      <c r="E5" s="82">
        <f t="shared" si="1"/>
        <v>224592.38</v>
      </c>
      <c r="F5" s="82">
        <f>ROUND(E5*1.09,2)</f>
        <v>244805.69</v>
      </c>
      <c r="G5" s="83">
        <f t="shared" si="2"/>
        <v>0.2718223468174</v>
      </c>
      <c r="H5" s="84"/>
      <c r="I5" s="73"/>
      <c r="J5" s="73"/>
      <c r="K5" s="73"/>
      <c r="L5" s="73"/>
      <c r="M5" s="73"/>
      <c r="N5" s="73"/>
      <c r="O5" s="73"/>
      <c r="P5" s="73"/>
    </row>
    <row r="6" s="71" customFormat="1" ht="20" customHeight="1" spans="1:16">
      <c r="A6" s="37">
        <v>3</v>
      </c>
      <c r="B6" s="23" t="s">
        <v>13</v>
      </c>
      <c r="C6" s="82">
        <v>16537165</v>
      </c>
      <c r="D6" s="82">
        <f>C6</f>
        <v>16537165</v>
      </c>
      <c r="E6" s="82">
        <f t="shared" si="1"/>
        <v>0</v>
      </c>
      <c r="F6" s="82">
        <f>ROUND(E6*0.91,2)</f>
        <v>0</v>
      </c>
      <c r="G6" s="83">
        <f t="shared" si="2"/>
        <v>0</v>
      </c>
      <c r="H6" s="84"/>
      <c r="I6" s="73"/>
      <c r="J6" s="73"/>
      <c r="K6" s="73"/>
      <c r="L6" s="73"/>
      <c r="M6" s="73"/>
      <c r="N6" s="73"/>
      <c r="O6" s="73"/>
      <c r="P6" s="73"/>
    </row>
    <row r="7" s="71" customFormat="1" ht="20" customHeight="1" spans="1:16">
      <c r="A7" s="37">
        <v>4</v>
      </c>
      <c r="B7" s="23" t="s">
        <v>14</v>
      </c>
      <c r="C7" s="82">
        <v>327737</v>
      </c>
      <c r="D7" s="82">
        <f>C7</f>
        <v>327737</v>
      </c>
      <c r="E7" s="82">
        <f t="shared" si="1"/>
        <v>0</v>
      </c>
      <c r="F7" s="82">
        <f>ROUND(E7*0.91,2)</f>
        <v>0</v>
      </c>
      <c r="G7" s="83">
        <f t="shared" si="2"/>
        <v>0</v>
      </c>
      <c r="H7" s="84"/>
      <c r="I7" s="73"/>
      <c r="J7" s="73"/>
      <c r="K7" s="73"/>
      <c r="L7" s="73"/>
      <c r="M7" s="73"/>
      <c r="N7" s="73"/>
      <c r="O7" s="73"/>
      <c r="P7" s="73"/>
    </row>
    <row r="8" s="71" customFormat="1" ht="30" customHeight="1" spans="1:16">
      <c r="A8" s="27" t="s">
        <v>15</v>
      </c>
      <c r="B8" s="17" t="s">
        <v>16</v>
      </c>
      <c r="C8" s="79">
        <f>SUM(C9:C11)</f>
        <v>6448734</v>
      </c>
      <c r="D8" s="79">
        <f>SUM(D9:D11)</f>
        <v>5630163.17</v>
      </c>
      <c r="E8" s="79">
        <f>SUM(E9:E11)</f>
        <v>818570.83</v>
      </c>
      <c r="F8" s="79">
        <f>SUM(F9:F11)</f>
        <v>744899.45</v>
      </c>
      <c r="G8" s="80">
        <f t="shared" si="2"/>
        <v>0.115510959205326</v>
      </c>
      <c r="H8" s="84"/>
      <c r="I8" s="73"/>
      <c r="J8" s="73"/>
      <c r="K8" s="73"/>
      <c r="L8" s="73"/>
      <c r="M8" s="73"/>
      <c r="N8" s="73"/>
      <c r="O8" s="73"/>
      <c r="P8" s="73"/>
    </row>
    <row r="9" s="71" customFormat="1" ht="20" customHeight="1" spans="1:16">
      <c r="A9" s="37">
        <v>1</v>
      </c>
      <c r="B9" s="23" t="s">
        <v>17</v>
      </c>
      <c r="C9" s="82">
        <f>4740484</f>
        <v>4740484</v>
      </c>
      <c r="D9" s="82">
        <f>包4!F12</f>
        <v>4253825.16</v>
      </c>
      <c r="E9" s="82">
        <f t="shared" si="1"/>
        <v>486658.84</v>
      </c>
      <c r="F9" s="82">
        <f>ROUND(E9*0.91,2)</f>
        <v>442859.54</v>
      </c>
      <c r="G9" s="83">
        <f t="shared" si="2"/>
        <v>0.0934207435358921</v>
      </c>
      <c r="H9" s="84"/>
      <c r="I9" s="73"/>
      <c r="J9" s="73"/>
      <c r="K9" s="73"/>
      <c r="L9" s="73"/>
      <c r="M9" s="73"/>
      <c r="N9" s="73"/>
      <c r="O9" s="73"/>
      <c r="P9" s="73"/>
    </row>
    <row r="10" s="71" customFormat="1" ht="20" customHeight="1" spans="1:16">
      <c r="A10" s="37">
        <v>2</v>
      </c>
      <c r="B10" s="23" t="s">
        <v>18</v>
      </c>
      <c r="C10" s="82">
        <v>1596293</v>
      </c>
      <c r="D10" s="82">
        <f>包5!F23</f>
        <v>1264381.01</v>
      </c>
      <c r="E10" s="82">
        <f t="shared" si="1"/>
        <v>331911.99</v>
      </c>
      <c r="F10" s="82">
        <f>ROUND(E10*0.91,2)</f>
        <v>302039.91</v>
      </c>
      <c r="G10" s="83">
        <f t="shared" si="2"/>
        <v>0.189213327377869</v>
      </c>
      <c r="H10" s="84"/>
      <c r="I10" s="73"/>
      <c r="J10" s="73"/>
      <c r="K10" s="73"/>
      <c r="L10" s="73"/>
      <c r="M10" s="73"/>
      <c r="N10" s="73"/>
      <c r="O10" s="73"/>
      <c r="P10" s="73"/>
    </row>
    <row r="11" s="71" customFormat="1" ht="20" customHeight="1" spans="1:16">
      <c r="A11" s="37">
        <v>3</v>
      </c>
      <c r="B11" s="23" t="s">
        <v>14</v>
      </c>
      <c r="C11" s="82">
        <v>111957</v>
      </c>
      <c r="D11" s="82">
        <f>C11</f>
        <v>111957</v>
      </c>
      <c r="E11" s="82">
        <f t="shared" si="1"/>
        <v>0</v>
      </c>
      <c r="F11" s="82">
        <f>ROUND(E11*0.91,2)</f>
        <v>0</v>
      </c>
      <c r="G11" s="83">
        <f t="shared" si="2"/>
        <v>0</v>
      </c>
      <c r="H11" s="84"/>
      <c r="I11" s="73"/>
      <c r="J11" s="73"/>
      <c r="K11" s="73"/>
      <c r="L11" s="73"/>
      <c r="M11" s="73"/>
      <c r="N11" s="73"/>
      <c r="O11" s="73"/>
      <c r="P11" s="73"/>
    </row>
    <row r="12" s="72" customFormat="1" ht="20" customHeight="1" spans="1:16">
      <c r="A12" s="27"/>
      <c r="B12" s="17" t="s">
        <v>19</v>
      </c>
      <c r="C12" s="79">
        <f t="shared" ref="C12:F12" si="3">C3+C8</f>
        <v>25578768</v>
      </c>
      <c r="D12" s="79">
        <f t="shared" si="3"/>
        <v>24593775.9</v>
      </c>
      <c r="E12" s="79">
        <f t="shared" si="3"/>
        <v>984992.1</v>
      </c>
      <c r="F12" s="79">
        <f t="shared" si="3"/>
        <v>936769.43</v>
      </c>
      <c r="G12" s="80">
        <f t="shared" si="2"/>
        <v>0.0366229300019454</v>
      </c>
      <c r="H12" s="85"/>
      <c r="I12" s="91"/>
      <c r="J12" s="91"/>
      <c r="K12" s="91"/>
      <c r="L12" s="91"/>
      <c r="M12" s="91"/>
      <c r="N12" s="91"/>
      <c r="O12" s="91"/>
      <c r="P12" s="91"/>
    </row>
    <row r="13" s="71" customFormat="1" ht="20" customHeight="1" spans="1:16">
      <c r="A13" s="37"/>
      <c r="B13" s="23"/>
      <c r="C13" s="82"/>
      <c r="D13" s="82"/>
      <c r="E13" s="82"/>
      <c r="F13" s="82"/>
      <c r="G13" s="83"/>
      <c r="H13" s="84"/>
      <c r="I13" s="73"/>
      <c r="J13" s="73"/>
      <c r="K13" s="73"/>
      <c r="L13" s="73"/>
      <c r="M13" s="73"/>
      <c r="N13" s="73"/>
      <c r="O13" s="73"/>
      <c r="P13" s="73"/>
    </row>
    <row r="14" s="71" customFormat="1" ht="20" customHeight="1" spans="1:16">
      <c r="A14" s="37"/>
      <c r="B14" s="23"/>
      <c r="C14" s="82"/>
      <c r="D14" s="82"/>
      <c r="E14" s="82"/>
      <c r="F14" s="82"/>
      <c r="G14" s="83"/>
      <c r="H14" s="84"/>
      <c r="I14" s="73"/>
      <c r="J14" s="73"/>
      <c r="K14" s="73"/>
      <c r="L14" s="73"/>
      <c r="M14" s="73"/>
      <c r="N14" s="73"/>
      <c r="O14" s="73"/>
      <c r="P14" s="73"/>
    </row>
    <row r="15" s="71" customFormat="1" ht="20" customHeight="1" spans="1:16">
      <c r="A15" s="37"/>
      <c r="B15" s="23"/>
      <c r="C15" s="82"/>
      <c r="D15" s="82"/>
      <c r="E15" s="82"/>
      <c r="F15" s="82"/>
      <c r="G15" s="83"/>
      <c r="H15" s="84"/>
      <c r="I15" s="73"/>
      <c r="J15" s="73"/>
      <c r="K15" s="73"/>
      <c r="L15" s="73"/>
      <c r="M15" s="73"/>
      <c r="N15" s="73"/>
      <c r="O15" s="73"/>
      <c r="P15" s="73"/>
    </row>
    <row r="16" s="71" customFormat="1" ht="20" customHeight="1" spans="1:16">
      <c r="A16" s="37"/>
      <c r="B16" s="23"/>
      <c r="C16" s="82"/>
      <c r="D16" s="82"/>
      <c r="E16" s="82"/>
      <c r="F16" s="82"/>
      <c r="G16" s="83"/>
      <c r="H16" s="84"/>
      <c r="I16" s="73"/>
      <c r="J16" s="73"/>
      <c r="K16" s="73"/>
      <c r="L16" s="73"/>
      <c r="M16" s="73"/>
      <c r="N16" s="73"/>
      <c r="O16" s="73"/>
      <c r="P16" s="73"/>
    </row>
    <row r="17" s="71" customFormat="1" ht="20" customHeight="1" spans="1:16">
      <c r="A17" s="37"/>
      <c r="B17" s="23"/>
      <c r="C17" s="82"/>
      <c r="D17" s="82"/>
      <c r="E17" s="82"/>
      <c r="F17" s="82"/>
      <c r="G17" s="83"/>
      <c r="H17" s="84"/>
      <c r="I17" s="73"/>
      <c r="J17" s="73"/>
      <c r="K17" s="73"/>
      <c r="L17" s="73"/>
      <c r="M17" s="73"/>
      <c r="N17" s="73"/>
      <c r="O17" s="73"/>
      <c r="P17" s="73"/>
    </row>
    <row r="18" s="71" customFormat="1" ht="20" customHeight="1" spans="1:16">
      <c r="A18" s="37"/>
      <c r="B18" s="23"/>
      <c r="C18" s="82"/>
      <c r="D18" s="82"/>
      <c r="E18" s="82"/>
      <c r="F18" s="82"/>
      <c r="G18" s="83"/>
      <c r="H18" s="84"/>
      <c r="I18" s="73"/>
      <c r="J18" s="73"/>
      <c r="K18" s="73"/>
      <c r="L18" s="73"/>
      <c r="M18" s="73"/>
      <c r="N18" s="73"/>
      <c r="O18" s="73"/>
      <c r="P18" s="73"/>
    </row>
    <row r="19" s="71" customFormat="1" ht="20" customHeight="1" spans="1:16">
      <c r="A19" s="37"/>
      <c r="B19" s="23"/>
      <c r="C19" s="82"/>
      <c r="D19" s="82"/>
      <c r="E19" s="82"/>
      <c r="F19" s="82"/>
      <c r="G19" s="83"/>
      <c r="H19" s="84"/>
      <c r="I19" s="73"/>
      <c r="J19" s="73"/>
      <c r="K19" s="73"/>
      <c r="L19" s="73"/>
      <c r="M19" s="73"/>
      <c r="N19" s="73"/>
      <c r="O19" s="73"/>
      <c r="P19" s="73"/>
    </row>
    <row r="20" s="71" customFormat="1" ht="20" customHeight="1" spans="1:16">
      <c r="A20" s="37"/>
      <c r="B20" s="23"/>
      <c r="C20" s="82"/>
      <c r="D20" s="82"/>
      <c r="E20" s="82"/>
      <c r="F20" s="82"/>
      <c r="G20" s="83"/>
      <c r="H20" s="84"/>
      <c r="I20" s="73"/>
      <c r="J20" s="73"/>
      <c r="K20" s="73"/>
      <c r="L20" s="73"/>
      <c r="M20" s="73"/>
      <c r="N20" s="73"/>
      <c r="O20" s="73"/>
      <c r="P20" s="73"/>
    </row>
    <row r="21" s="71" customFormat="1" ht="20" customHeight="1" spans="1:16">
      <c r="A21" s="37"/>
      <c r="B21" s="23"/>
      <c r="C21" s="82"/>
      <c r="D21" s="82"/>
      <c r="E21" s="82"/>
      <c r="F21" s="82"/>
      <c r="G21" s="83"/>
      <c r="H21" s="84"/>
      <c r="I21" s="73"/>
      <c r="J21" s="73"/>
      <c r="K21" s="73"/>
      <c r="L21" s="73"/>
      <c r="M21" s="73"/>
      <c r="N21" s="73"/>
      <c r="O21" s="73"/>
      <c r="P21" s="73"/>
    </row>
    <row r="22" s="71" customFormat="1" ht="20" customHeight="1" spans="1:16">
      <c r="A22" s="86"/>
      <c r="B22" s="87"/>
      <c r="C22" s="88"/>
      <c r="D22" s="88"/>
      <c r="E22" s="88"/>
      <c r="F22" s="88"/>
      <c r="G22" s="89"/>
      <c r="H22" s="90"/>
      <c r="I22" s="73"/>
      <c r="J22" s="73"/>
      <c r="K22" s="73"/>
      <c r="L22" s="73"/>
      <c r="M22" s="73"/>
      <c r="N22" s="73"/>
      <c r="O22" s="73"/>
      <c r="P22" s="73"/>
    </row>
    <row r="23" ht="18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</sheetData>
  <mergeCells count="1">
    <mergeCell ref="A1:H1"/>
  </mergeCells>
  <printOptions horizontalCentered="1"/>
  <pageMargins left="0.472222222222222" right="0.472222222222222" top="0.786805555555556" bottom="0.472222222222222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zoomScale="130" zoomScaleNormal="130" workbookViewId="0">
      <selection activeCell="K9" sqref="K9"/>
    </sheetView>
  </sheetViews>
  <sheetFormatPr defaultColWidth="9" defaultRowHeight="13.5"/>
  <cols>
    <col min="1" max="1" width="5.625" style="55" customWidth="1"/>
    <col min="2" max="2" width="36.625" style="55" customWidth="1"/>
    <col min="3" max="3" width="5.625" style="55" customWidth="1"/>
    <col min="4" max="4" width="9.625" style="56" customWidth="1"/>
    <col min="5" max="5" width="11.625" style="56" customWidth="1"/>
    <col min="6" max="6" width="12.625" style="56" customWidth="1"/>
    <col min="7" max="11" width="9" style="55"/>
    <col min="12" max="12" width="9.625" style="55"/>
    <col min="13" max="13" width="9" style="55"/>
    <col min="14" max="16384" width="9" style="54"/>
  </cols>
  <sheetData>
    <row r="1" s="54" customFormat="1" ht="40" customHeight="1" spans="1:13">
      <c r="A1" s="57" t="s">
        <v>20</v>
      </c>
      <c r="B1" s="57"/>
      <c r="C1" s="57"/>
      <c r="D1" s="58"/>
      <c r="E1" s="58"/>
      <c r="F1" s="58"/>
      <c r="G1" s="55"/>
      <c r="H1" s="55"/>
      <c r="I1" s="55"/>
      <c r="J1" s="55"/>
      <c r="K1" s="55"/>
      <c r="L1" s="55"/>
      <c r="M1" s="55"/>
    </row>
    <row r="2" s="54" customFormat="1" ht="20" customHeight="1" spans="1:13">
      <c r="A2" s="59"/>
      <c r="B2" s="59"/>
      <c r="C2" s="59"/>
      <c r="D2" s="60"/>
      <c r="E2" s="7" t="s">
        <v>21</v>
      </c>
      <c r="F2" s="7"/>
      <c r="G2" s="55"/>
      <c r="H2" s="55"/>
      <c r="I2" s="55"/>
      <c r="J2" s="55"/>
      <c r="K2" s="55"/>
      <c r="L2" s="55"/>
      <c r="M2" s="55"/>
    </row>
    <row r="3" s="54" customFormat="1" ht="20" customHeight="1" spans="1:13">
      <c r="A3" s="61" t="s">
        <v>1</v>
      </c>
      <c r="B3" s="62" t="s">
        <v>22</v>
      </c>
      <c r="C3" s="62" t="s">
        <v>23</v>
      </c>
      <c r="D3" s="63" t="s">
        <v>24</v>
      </c>
      <c r="E3" s="63" t="s">
        <v>25</v>
      </c>
      <c r="F3" s="64" t="s">
        <v>26</v>
      </c>
      <c r="G3" s="55"/>
      <c r="H3" s="55"/>
      <c r="I3" s="55"/>
      <c r="J3" s="55"/>
      <c r="K3" s="55"/>
      <c r="L3" s="55"/>
      <c r="M3" s="55"/>
    </row>
    <row r="4" s="54" customFormat="1" ht="20" customHeight="1" spans="1:13">
      <c r="A4" s="27" t="s">
        <v>9</v>
      </c>
      <c r="B4" s="65" t="s">
        <v>27</v>
      </c>
      <c r="C4" s="65"/>
      <c r="D4" s="66"/>
      <c r="E4" s="66"/>
      <c r="F4" s="30">
        <f>F5+F14+F19+F25+F27</f>
        <v>1298730.18</v>
      </c>
      <c r="G4" s="55"/>
      <c r="H4" s="55"/>
      <c r="I4" s="55"/>
      <c r="J4" s="55"/>
      <c r="K4" s="55"/>
      <c r="L4" s="55"/>
      <c r="M4" s="55"/>
    </row>
    <row r="5" s="54" customFormat="1" ht="20" customHeight="1" spans="1:13">
      <c r="A5" s="27" t="s">
        <v>28</v>
      </c>
      <c r="B5" s="17" t="s">
        <v>29</v>
      </c>
      <c r="C5" s="65"/>
      <c r="D5" s="66"/>
      <c r="E5" s="25"/>
      <c r="F5" s="30">
        <f>SUM(F6:F13)</f>
        <v>511077.07</v>
      </c>
      <c r="G5" s="55"/>
      <c r="H5" s="55"/>
      <c r="I5" s="55"/>
      <c r="J5" s="55"/>
      <c r="K5" s="55"/>
      <c r="L5" s="55"/>
      <c r="M5" s="55"/>
    </row>
    <row r="6" s="54" customFormat="1" ht="20" customHeight="1" spans="1:13">
      <c r="A6" s="37">
        <v>1</v>
      </c>
      <c r="B6" s="23" t="s">
        <v>30</v>
      </c>
      <c r="C6" s="24" t="s">
        <v>31</v>
      </c>
      <c r="D6" s="25">
        <v>53133.33</v>
      </c>
      <c r="E6" s="25">
        <v>2.7</v>
      </c>
      <c r="F6" s="38">
        <f t="shared" ref="F6:F13" si="0">ROUND(D6*E6,2)</f>
        <v>143459.99</v>
      </c>
      <c r="G6" s="55"/>
      <c r="H6" s="55"/>
      <c r="I6" s="55"/>
      <c r="J6" s="55"/>
      <c r="K6" s="55"/>
      <c r="L6" s="55"/>
      <c r="M6" s="55"/>
    </row>
    <row r="7" s="54" customFormat="1" ht="20" customHeight="1" spans="1:13">
      <c r="A7" s="37">
        <v>2</v>
      </c>
      <c r="B7" s="23" t="s">
        <v>32</v>
      </c>
      <c r="C7" s="24" t="s">
        <v>31</v>
      </c>
      <c r="D7" s="25">
        <v>29076.92</v>
      </c>
      <c r="E7" s="25">
        <v>4</v>
      </c>
      <c r="F7" s="38">
        <f t="shared" si="0"/>
        <v>116307.68</v>
      </c>
      <c r="G7" s="55"/>
      <c r="H7" s="55"/>
      <c r="I7" s="55"/>
      <c r="J7" s="55"/>
      <c r="K7" s="55"/>
      <c r="L7" s="55"/>
      <c r="M7" s="55"/>
    </row>
    <row r="8" s="54" customFormat="1" ht="20" customHeight="1" spans="1:13">
      <c r="A8" s="37">
        <v>3</v>
      </c>
      <c r="B8" s="23" t="s">
        <v>33</v>
      </c>
      <c r="C8" s="24" t="s">
        <v>34</v>
      </c>
      <c r="D8" s="25">
        <v>420</v>
      </c>
      <c r="E8" s="25">
        <v>130</v>
      </c>
      <c r="F8" s="38">
        <f t="shared" si="0"/>
        <v>54600</v>
      </c>
      <c r="G8" s="55"/>
      <c r="H8" s="55"/>
      <c r="I8" s="55"/>
      <c r="J8" s="55"/>
      <c r="K8" s="55"/>
      <c r="L8" s="55"/>
      <c r="M8" s="55"/>
    </row>
    <row r="9" s="54" customFormat="1" ht="20" customHeight="1" spans="1:13">
      <c r="A9" s="37">
        <v>4</v>
      </c>
      <c r="B9" s="23" t="s">
        <v>35</v>
      </c>
      <c r="C9" s="24" t="s">
        <v>34</v>
      </c>
      <c r="D9" s="25">
        <v>283</v>
      </c>
      <c r="E9" s="25">
        <v>40</v>
      </c>
      <c r="F9" s="38">
        <f t="shared" si="0"/>
        <v>11320</v>
      </c>
      <c r="G9" s="55"/>
      <c r="H9" s="55"/>
      <c r="I9" s="55"/>
      <c r="J9" s="55"/>
      <c r="K9" s="55"/>
      <c r="L9" s="55"/>
      <c r="M9" s="55"/>
    </row>
    <row r="10" s="54" customFormat="1" ht="20" customHeight="1" spans="1:13">
      <c r="A10" s="37">
        <v>5</v>
      </c>
      <c r="B10" s="23" t="s">
        <v>36</v>
      </c>
      <c r="C10" s="24" t="s">
        <v>34</v>
      </c>
      <c r="D10" s="25">
        <v>49</v>
      </c>
      <c r="E10" s="25">
        <v>10</v>
      </c>
      <c r="F10" s="38">
        <f t="shared" si="0"/>
        <v>490</v>
      </c>
      <c r="G10" s="55"/>
      <c r="H10" s="55"/>
      <c r="I10" s="55"/>
      <c r="J10" s="55"/>
      <c r="K10" s="55"/>
      <c r="L10" s="55"/>
      <c r="M10" s="55"/>
    </row>
    <row r="11" s="54" customFormat="1" ht="20" customHeight="1" spans="1:13">
      <c r="A11" s="37">
        <v>6</v>
      </c>
      <c r="B11" s="23" t="s">
        <v>37</v>
      </c>
      <c r="C11" s="24" t="s">
        <v>34</v>
      </c>
      <c r="D11" s="25">
        <v>49</v>
      </c>
      <c r="E11" s="25">
        <v>105</v>
      </c>
      <c r="F11" s="38">
        <f t="shared" si="0"/>
        <v>5145</v>
      </c>
      <c r="G11" s="55"/>
      <c r="H11" s="55"/>
      <c r="I11" s="55"/>
      <c r="J11" s="55"/>
      <c r="K11" s="55"/>
      <c r="L11" s="55"/>
      <c r="M11" s="55"/>
    </row>
    <row r="12" s="54" customFormat="1" ht="20" customHeight="1" spans="1:13">
      <c r="A12" s="37">
        <v>7</v>
      </c>
      <c r="B12" s="23" t="s">
        <v>38</v>
      </c>
      <c r="C12" s="24" t="s">
        <v>34</v>
      </c>
      <c r="D12" s="25">
        <v>31.4</v>
      </c>
      <c r="E12" s="25">
        <v>140</v>
      </c>
      <c r="F12" s="38">
        <f t="shared" si="0"/>
        <v>4396</v>
      </c>
      <c r="G12" s="55"/>
      <c r="H12" s="55"/>
      <c r="I12" s="55"/>
      <c r="J12" s="55"/>
      <c r="K12" s="55"/>
      <c r="L12" s="55"/>
      <c r="M12" s="55"/>
    </row>
    <row r="13" s="54" customFormat="1" ht="20" customHeight="1" spans="1:13">
      <c r="A13" s="37">
        <v>8</v>
      </c>
      <c r="B13" s="23" t="s">
        <v>39</v>
      </c>
      <c r="C13" s="24" t="s">
        <v>40</v>
      </c>
      <c r="D13" s="25">
        <v>49120</v>
      </c>
      <c r="E13" s="25">
        <v>3.57</v>
      </c>
      <c r="F13" s="38">
        <f t="shared" si="0"/>
        <v>175358.4</v>
      </c>
      <c r="G13" s="55"/>
      <c r="H13" s="55"/>
      <c r="I13" s="55"/>
      <c r="J13" s="55"/>
      <c r="K13" s="55"/>
      <c r="L13" s="55"/>
      <c r="M13" s="55"/>
    </row>
    <row r="14" s="54" customFormat="1" ht="20" customHeight="1" spans="1:13">
      <c r="A14" s="27" t="s">
        <v>41</v>
      </c>
      <c r="B14" s="17" t="s">
        <v>42</v>
      </c>
      <c r="C14" s="24"/>
      <c r="D14" s="25"/>
      <c r="E14" s="25"/>
      <c r="F14" s="30">
        <f>SUM(F15:F18)</f>
        <v>719758.35</v>
      </c>
      <c r="G14" s="55"/>
      <c r="H14" s="55"/>
      <c r="I14" s="55"/>
      <c r="J14" s="55"/>
      <c r="K14" s="55"/>
      <c r="L14" s="55"/>
      <c r="M14" s="55"/>
    </row>
    <row r="15" s="54" customFormat="1" ht="20" customHeight="1" spans="1:13">
      <c r="A15" s="37">
        <v>1</v>
      </c>
      <c r="B15" s="23" t="s">
        <v>43</v>
      </c>
      <c r="C15" s="24" t="s">
        <v>34</v>
      </c>
      <c r="D15" s="25">
        <f>ROUND(1097*0.25,2)</f>
        <v>274.25</v>
      </c>
      <c r="E15" s="67">
        <v>105</v>
      </c>
      <c r="F15" s="38">
        <f>ROUND(D15*E15,2)</f>
        <v>28796.25</v>
      </c>
      <c r="G15" s="55"/>
      <c r="H15" s="55"/>
      <c r="I15" s="55"/>
      <c r="J15" s="55"/>
      <c r="K15" s="55"/>
      <c r="L15" s="55"/>
      <c r="M15" s="55"/>
    </row>
    <row r="16" s="54" customFormat="1" ht="20" customHeight="1" spans="1:13">
      <c r="A16" s="37">
        <v>2</v>
      </c>
      <c r="B16" s="23" t="s">
        <v>44</v>
      </c>
      <c r="C16" s="24" t="s">
        <v>34</v>
      </c>
      <c r="D16" s="25">
        <f>1369+90.8</f>
        <v>1459.8</v>
      </c>
      <c r="E16" s="25">
        <v>411</v>
      </c>
      <c r="F16" s="38">
        <f>ROUND(D16*E16,2)</f>
        <v>599977.8</v>
      </c>
      <c r="G16" s="55"/>
      <c r="H16" s="55"/>
      <c r="I16" s="55"/>
      <c r="J16" s="55"/>
      <c r="K16" s="55"/>
      <c r="L16" s="55"/>
      <c r="M16" s="55"/>
    </row>
    <row r="17" s="54" customFormat="1" ht="20" customHeight="1" spans="1:13">
      <c r="A17" s="37">
        <v>3</v>
      </c>
      <c r="B17" s="23" t="s">
        <v>45</v>
      </c>
      <c r="C17" s="24" t="s">
        <v>31</v>
      </c>
      <c r="D17" s="25">
        <v>454</v>
      </c>
      <c r="E17" s="25">
        <v>36.7</v>
      </c>
      <c r="F17" s="38">
        <f>ROUND(D17*E17,2)</f>
        <v>16661.8</v>
      </c>
      <c r="G17" s="55"/>
      <c r="H17" s="55"/>
      <c r="I17" s="55"/>
      <c r="J17" s="55"/>
      <c r="K17" s="55"/>
      <c r="L17" s="55"/>
      <c r="M17" s="55"/>
    </row>
    <row r="18" s="54" customFormat="1" ht="20" customHeight="1" spans="1:13">
      <c r="A18" s="37">
        <v>4</v>
      </c>
      <c r="B18" s="23" t="s">
        <v>46</v>
      </c>
      <c r="C18" s="24" t="s">
        <v>31</v>
      </c>
      <c r="D18" s="25">
        <v>29729</v>
      </c>
      <c r="E18" s="25">
        <v>2.5</v>
      </c>
      <c r="F18" s="38">
        <f>ROUND(D18*E18,2)</f>
        <v>74322.5</v>
      </c>
      <c r="G18" s="55"/>
      <c r="H18" s="55"/>
      <c r="I18" s="55"/>
      <c r="J18" s="55"/>
      <c r="K18" s="55"/>
      <c r="L18" s="55"/>
      <c r="M18" s="55"/>
    </row>
    <row r="19" s="54" customFormat="1" ht="20" customHeight="1" spans="1:13">
      <c r="A19" s="27" t="s">
        <v>47</v>
      </c>
      <c r="B19" s="17" t="s">
        <v>48</v>
      </c>
      <c r="C19" s="24"/>
      <c r="D19" s="25"/>
      <c r="E19" s="25"/>
      <c r="F19" s="30">
        <f>SUM(F20:F24)</f>
        <v>53444.8</v>
      </c>
      <c r="G19" s="55"/>
      <c r="H19" s="55"/>
      <c r="I19" s="55"/>
      <c r="J19" s="55"/>
      <c r="K19" s="55"/>
      <c r="L19" s="55"/>
      <c r="M19" s="55"/>
    </row>
    <row r="20" s="54" customFormat="1" ht="20" customHeight="1" spans="1:13">
      <c r="A20" s="37">
        <v>1</v>
      </c>
      <c r="B20" s="23" t="s">
        <v>49</v>
      </c>
      <c r="C20" s="24" t="s">
        <v>34</v>
      </c>
      <c r="D20" s="25">
        <f>ROUND(1240*0.08,2)</f>
        <v>99.2</v>
      </c>
      <c r="E20" s="25">
        <v>155</v>
      </c>
      <c r="F20" s="38">
        <f>ROUND(D20*E20,2)</f>
        <v>15376</v>
      </c>
      <c r="G20" s="55"/>
      <c r="H20" s="55"/>
      <c r="I20" s="55"/>
      <c r="J20" s="55"/>
      <c r="K20" s="55"/>
      <c r="L20" s="55"/>
      <c r="M20" s="55"/>
    </row>
    <row r="21" s="54" customFormat="1" ht="20" customHeight="1" spans="1:13">
      <c r="A21" s="37">
        <v>2</v>
      </c>
      <c r="B21" s="23" t="s">
        <v>50</v>
      </c>
      <c r="C21" s="24" t="s">
        <v>34</v>
      </c>
      <c r="D21" s="25">
        <v>42</v>
      </c>
      <c r="E21" s="25">
        <v>130</v>
      </c>
      <c r="F21" s="38">
        <f>ROUND(D21*E21,2)</f>
        <v>5460</v>
      </c>
      <c r="G21" s="55"/>
      <c r="H21" s="55"/>
      <c r="I21" s="55"/>
      <c r="J21" s="55"/>
      <c r="K21" s="55"/>
      <c r="L21" s="55"/>
      <c r="M21" s="55"/>
    </row>
    <row r="22" s="54" customFormat="1" ht="20" customHeight="1" spans="1:13">
      <c r="A22" s="37">
        <v>3</v>
      </c>
      <c r="B22" s="23" t="s">
        <v>51</v>
      </c>
      <c r="C22" s="24" t="s">
        <v>34</v>
      </c>
      <c r="D22" s="25">
        <v>99</v>
      </c>
      <c r="E22" s="25">
        <v>180</v>
      </c>
      <c r="F22" s="38">
        <f>ROUND(D22*E22,2)</f>
        <v>17820</v>
      </c>
      <c r="G22" s="55"/>
      <c r="H22" s="55"/>
      <c r="I22" s="55"/>
      <c r="J22" s="55"/>
      <c r="K22" s="55"/>
      <c r="L22" s="55"/>
      <c r="M22" s="55"/>
    </row>
    <row r="23" s="54" customFormat="1" ht="20" customHeight="1" spans="1:13">
      <c r="A23" s="37">
        <v>4</v>
      </c>
      <c r="B23" s="23" t="s">
        <v>52</v>
      </c>
      <c r="C23" s="24" t="s">
        <v>40</v>
      </c>
      <c r="D23" s="25">
        <v>12</v>
      </c>
      <c r="E23" s="25">
        <v>30.42</v>
      </c>
      <c r="F23" s="38">
        <f t="shared" ref="F23:F29" si="1">ROUND(D23*E23,2)</f>
        <v>365.04</v>
      </c>
      <c r="G23" s="55"/>
      <c r="H23" s="55"/>
      <c r="I23" s="55"/>
      <c r="J23" s="55"/>
      <c r="K23" s="55"/>
      <c r="L23" s="55"/>
      <c r="M23" s="55"/>
    </row>
    <row r="24" s="54" customFormat="1" ht="20" customHeight="1" spans="1:13">
      <c r="A24" s="37">
        <v>5</v>
      </c>
      <c r="B24" s="23" t="s">
        <v>53</v>
      </c>
      <c r="C24" s="24" t="s">
        <v>40</v>
      </c>
      <c r="D24" s="25">
        <v>468</v>
      </c>
      <c r="E24" s="25">
        <v>30.82</v>
      </c>
      <c r="F24" s="38">
        <f t="shared" si="1"/>
        <v>14423.76</v>
      </c>
      <c r="G24" s="55"/>
      <c r="H24" s="55"/>
      <c r="I24" s="55"/>
      <c r="J24" s="55"/>
      <c r="K24" s="55"/>
      <c r="L24" s="55"/>
      <c r="M24" s="55"/>
    </row>
    <row r="25" s="54" customFormat="1" ht="20" customHeight="1" spans="1:13">
      <c r="A25" s="27" t="s">
        <v>54</v>
      </c>
      <c r="B25" s="17" t="s">
        <v>55</v>
      </c>
      <c r="C25" s="24"/>
      <c r="D25" s="25"/>
      <c r="E25" s="25"/>
      <c r="F25" s="30">
        <f>SUM(F26:F26)</f>
        <v>8450</v>
      </c>
      <c r="G25" s="55"/>
      <c r="H25" s="55"/>
      <c r="I25" s="55"/>
      <c r="J25" s="55"/>
      <c r="K25" s="55"/>
      <c r="L25" s="55"/>
      <c r="M25" s="55"/>
    </row>
    <row r="26" s="54" customFormat="1" ht="20" customHeight="1" spans="1:13">
      <c r="A26" s="37">
        <v>1</v>
      </c>
      <c r="B26" s="23" t="s">
        <v>50</v>
      </c>
      <c r="C26" s="24" t="s">
        <v>34</v>
      </c>
      <c r="D26" s="25">
        <v>65</v>
      </c>
      <c r="E26" s="25">
        <v>130</v>
      </c>
      <c r="F26" s="38">
        <f t="shared" si="1"/>
        <v>8450</v>
      </c>
      <c r="G26" s="55"/>
      <c r="H26" s="55"/>
      <c r="I26" s="55"/>
      <c r="J26" s="55"/>
      <c r="K26" s="55"/>
      <c r="L26" s="55"/>
      <c r="M26" s="55"/>
    </row>
    <row r="27" s="54" customFormat="1" ht="20" customHeight="1" spans="1:13">
      <c r="A27" s="27" t="s">
        <v>56</v>
      </c>
      <c r="B27" s="17" t="s">
        <v>57</v>
      </c>
      <c r="C27" s="24"/>
      <c r="D27" s="25"/>
      <c r="E27" s="25"/>
      <c r="F27" s="30">
        <f>SUM(F28:F29)</f>
        <v>5999.96</v>
      </c>
      <c r="G27" s="55"/>
      <c r="H27" s="55"/>
      <c r="I27" s="55"/>
      <c r="J27" s="55"/>
      <c r="K27" s="55"/>
      <c r="L27" s="55"/>
      <c r="M27" s="55"/>
    </row>
    <row r="28" s="54" customFormat="1" ht="20" customHeight="1" spans="1:13">
      <c r="A28" s="37">
        <v>1</v>
      </c>
      <c r="B28" s="23" t="s">
        <v>58</v>
      </c>
      <c r="C28" s="24" t="s">
        <v>34</v>
      </c>
      <c r="D28" s="25">
        <v>983.6</v>
      </c>
      <c r="E28" s="25">
        <v>5.3</v>
      </c>
      <c r="F28" s="38">
        <f t="shared" si="1"/>
        <v>5213.08</v>
      </c>
      <c r="G28" s="55"/>
      <c r="H28" s="55"/>
      <c r="I28" s="55"/>
      <c r="J28" s="55"/>
      <c r="K28" s="55"/>
      <c r="L28" s="55"/>
      <c r="M28" s="55"/>
    </row>
    <row r="29" s="54" customFormat="1" ht="20" customHeight="1" spans="1:13">
      <c r="A29" s="37">
        <v>2</v>
      </c>
      <c r="B29" s="23" t="s">
        <v>59</v>
      </c>
      <c r="C29" s="24" t="s">
        <v>34</v>
      </c>
      <c r="D29" s="25">
        <f>D28</f>
        <v>983.6</v>
      </c>
      <c r="E29" s="25">
        <v>0.8</v>
      </c>
      <c r="F29" s="38">
        <f t="shared" si="1"/>
        <v>786.88</v>
      </c>
      <c r="G29" s="55"/>
      <c r="H29" s="55"/>
      <c r="I29" s="55"/>
      <c r="J29" s="55"/>
      <c r="K29" s="55"/>
      <c r="L29" s="55"/>
      <c r="M29" s="55"/>
    </row>
    <row r="30" s="54" customFormat="1" ht="20" customHeight="1" spans="1:13">
      <c r="A30" s="27" t="s">
        <v>15</v>
      </c>
      <c r="B30" s="28" t="s">
        <v>60</v>
      </c>
      <c r="C30" s="29" t="s">
        <v>61</v>
      </c>
      <c r="D30" s="25">
        <v>0.5</v>
      </c>
      <c r="E30" s="25">
        <f>F4</f>
        <v>1298730.18</v>
      </c>
      <c r="F30" s="30">
        <f>ROUND(D30*E30/100,2)</f>
        <v>6493.65</v>
      </c>
      <c r="G30" s="55"/>
      <c r="H30" s="55"/>
      <c r="I30" s="55"/>
      <c r="J30" s="55"/>
      <c r="K30" s="55"/>
      <c r="L30" s="55"/>
      <c r="M30" s="55"/>
    </row>
    <row r="31" s="54" customFormat="1" ht="20" customHeight="1" spans="1:13">
      <c r="A31" s="27" t="s">
        <v>62</v>
      </c>
      <c r="B31" s="65" t="s">
        <v>63</v>
      </c>
      <c r="C31" s="29" t="s">
        <v>61</v>
      </c>
      <c r="D31" s="25">
        <v>9</v>
      </c>
      <c r="E31" s="25">
        <f>E30+F30</f>
        <v>1305223.83</v>
      </c>
      <c r="F31" s="30">
        <f>ROUND(D31*E31/100,2)</f>
        <v>117470.14</v>
      </c>
      <c r="G31" s="55"/>
      <c r="H31" s="55"/>
      <c r="I31" s="55"/>
      <c r="J31" s="55"/>
      <c r="K31" s="55"/>
      <c r="L31" s="55"/>
      <c r="M31" s="55"/>
    </row>
    <row r="32" s="54" customFormat="1" ht="20" customHeight="1" spans="1:13">
      <c r="A32" s="27" t="s">
        <v>64</v>
      </c>
      <c r="B32" s="65" t="s">
        <v>65</v>
      </c>
      <c r="C32" s="24"/>
      <c r="D32" s="25"/>
      <c r="E32" s="25"/>
      <c r="F32" s="30">
        <f>F4+F30+F31</f>
        <v>1422693.97</v>
      </c>
      <c r="G32" s="55"/>
      <c r="H32" s="55"/>
      <c r="I32" s="55"/>
      <c r="J32" s="55"/>
      <c r="K32" s="55"/>
      <c r="L32" s="55"/>
      <c r="M32" s="55"/>
    </row>
    <row r="33" s="54" customFormat="1" ht="20" customHeight="1" spans="1:13">
      <c r="A33" s="37"/>
      <c r="B33" s="65"/>
      <c r="C33" s="24"/>
      <c r="D33" s="25"/>
      <c r="E33" s="25"/>
      <c r="F33" s="30"/>
      <c r="G33" s="55"/>
      <c r="H33" s="55"/>
      <c r="I33" s="55"/>
      <c r="J33" s="55"/>
      <c r="K33" s="55"/>
      <c r="L33" s="55"/>
      <c r="M33" s="55"/>
    </row>
    <row r="34" s="54" customFormat="1" ht="20" customHeight="1" spans="1:13">
      <c r="A34" s="37"/>
      <c r="B34" s="65"/>
      <c r="C34" s="24"/>
      <c r="D34" s="25"/>
      <c r="E34" s="25"/>
      <c r="F34" s="30"/>
      <c r="G34" s="55"/>
      <c r="H34" s="55"/>
      <c r="I34" s="55"/>
      <c r="J34" s="55"/>
      <c r="K34" s="55"/>
      <c r="L34" s="55"/>
      <c r="M34" s="55"/>
    </row>
    <row r="35" s="54" customFormat="1" ht="20" customHeight="1" spans="1:13">
      <c r="A35" s="68"/>
      <c r="B35" s="69"/>
      <c r="C35" s="69"/>
      <c r="D35" s="69"/>
      <c r="E35" s="69"/>
      <c r="F35" s="70"/>
      <c r="G35" s="55"/>
      <c r="H35" s="55"/>
      <c r="I35" s="55"/>
      <c r="J35" s="55"/>
      <c r="K35" s="55"/>
      <c r="L35" s="55"/>
      <c r="M35" s="55"/>
    </row>
    <row r="36" s="54" customFormat="1" ht="18" customHeight="1" spans="1:13">
      <c r="A36" s="55"/>
      <c r="B36" s="55"/>
      <c r="C36" s="55"/>
      <c r="D36" s="56"/>
      <c r="E36" s="56"/>
      <c r="F36" s="56"/>
      <c r="G36" s="55"/>
      <c r="H36" s="55"/>
      <c r="I36" s="55"/>
      <c r="J36" s="55"/>
      <c r="K36" s="55"/>
      <c r="L36" s="55"/>
      <c r="M36" s="55"/>
    </row>
    <row r="37" s="54" customFormat="1" ht="18" customHeight="1" spans="1:13">
      <c r="A37" s="55"/>
      <c r="B37" s="55"/>
      <c r="C37" s="55"/>
      <c r="D37" s="56"/>
      <c r="E37" s="56"/>
      <c r="F37" s="56"/>
      <c r="G37" s="55"/>
      <c r="H37" s="55"/>
      <c r="I37" s="55"/>
      <c r="J37" s="55"/>
      <c r="K37" s="55"/>
      <c r="L37" s="55"/>
      <c r="M37" s="55"/>
    </row>
    <row r="38" s="54" customFormat="1" ht="18" customHeight="1" spans="1:13">
      <c r="A38" s="55"/>
      <c r="B38" s="55"/>
      <c r="C38" s="55"/>
      <c r="D38" s="56"/>
      <c r="E38" s="56"/>
      <c r="F38" s="56"/>
      <c r="G38" s="55"/>
      <c r="H38" s="55"/>
      <c r="I38" s="55"/>
      <c r="J38" s="55"/>
      <c r="K38" s="55"/>
      <c r="L38" s="55"/>
      <c r="M38" s="55"/>
    </row>
    <row r="39" s="54" customFormat="1" ht="18" customHeight="1" spans="1:13">
      <c r="A39" s="55"/>
      <c r="B39" s="55"/>
      <c r="C39" s="55"/>
      <c r="D39" s="56"/>
      <c r="E39" s="56"/>
      <c r="F39" s="56"/>
      <c r="G39" s="55"/>
      <c r="H39" s="55"/>
      <c r="I39" s="55"/>
      <c r="J39" s="55"/>
      <c r="K39" s="55"/>
      <c r="L39" s="55"/>
      <c r="M39" s="55"/>
    </row>
    <row r="40" s="54" customFormat="1" ht="18" customHeight="1" spans="1:13">
      <c r="A40" s="55"/>
      <c r="B40" s="55"/>
      <c r="C40" s="55"/>
      <c r="D40" s="56"/>
      <c r="E40" s="56"/>
      <c r="F40" s="56"/>
      <c r="G40" s="55"/>
      <c r="H40" s="55"/>
      <c r="I40" s="55"/>
      <c r="J40" s="55"/>
      <c r="K40" s="55"/>
      <c r="L40" s="55"/>
      <c r="M40" s="55"/>
    </row>
    <row r="41" s="54" customFormat="1" ht="18" customHeight="1" spans="1:13">
      <c r="A41" s="55"/>
      <c r="B41" s="55"/>
      <c r="C41" s="55"/>
      <c r="D41" s="56"/>
      <c r="E41" s="56"/>
      <c r="F41" s="56"/>
      <c r="G41" s="55"/>
      <c r="H41" s="55"/>
      <c r="I41" s="55"/>
      <c r="J41" s="55"/>
      <c r="K41" s="55"/>
      <c r="L41" s="55"/>
      <c r="M41" s="55"/>
    </row>
    <row r="42" s="54" customFormat="1" ht="18" customHeight="1" spans="1:13">
      <c r="A42" s="55"/>
      <c r="B42" s="55"/>
      <c r="C42" s="55"/>
      <c r="D42" s="56"/>
      <c r="E42" s="56"/>
      <c r="F42" s="56"/>
      <c r="G42" s="55"/>
      <c r="H42" s="55"/>
      <c r="I42" s="55"/>
      <c r="J42" s="55"/>
      <c r="K42" s="55"/>
      <c r="L42" s="55"/>
      <c r="M42" s="55"/>
    </row>
    <row r="43" s="54" customFormat="1" ht="18" customHeight="1" spans="1:13">
      <c r="A43" s="55"/>
      <c r="B43" s="55"/>
      <c r="C43" s="55"/>
      <c r="D43" s="56"/>
      <c r="E43" s="56"/>
      <c r="F43" s="56"/>
      <c r="G43" s="55"/>
      <c r="H43" s="55"/>
      <c r="I43" s="55"/>
      <c r="J43" s="55"/>
      <c r="K43" s="55"/>
      <c r="L43" s="55"/>
      <c r="M43" s="55"/>
    </row>
    <row r="44" s="54" customFormat="1" ht="18" customHeight="1" spans="1:13">
      <c r="A44" s="55"/>
      <c r="B44" s="55"/>
      <c r="C44" s="55"/>
      <c r="D44" s="56"/>
      <c r="E44" s="56"/>
      <c r="F44" s="56"/>
      <c r="G44" s="55"/>
      <c r="H44" s="55"/>
      <c r="I44" s="55"/>
      <c r="J44" s="55"/>
      <c r="K44" s="55"/>
      <c r="L44" s="55"/>
      <c r="M44" s="55"/>
    </row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</sheetData>
  <mergeCells count="3">
    <mergeCell ref="A1:F1"/>
    <mergeCell ref="E2:F2"/>
    <mergeCell ref="A35:F35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selection activeCell="F28" sqref="F28"/>
    </sheetView>
  </sheetViews>
  <sheetFormatPr defaultColWidth="9" defaultRowHeight="13.5"/>
  <cols>
    <col min="1" max="1" width="5.625" style="1" customWidth="1"/>
    <col min="2" max="2" width="30.625" style="1" customWidth="1"/>
    <col min="3" max="3" width="5.625" style="1" customWidth="1"/>
    <col min="4" max="4" width="10.625" style="2" customWidth="1"/>
    <col min="5" max="6" width="12.625" style="2" customWidth="1"/>
    <col min="7" max="7" width="10.625" style="40" customWidth="1"/>
    <col min="8" max="8" width="12.625" style="2" customWidth="1"/>
    <col min="9" max="9" width="16.625" style="2" customWidth="1"/>
    <col min="10" max="10" width="12.625" style="1" customWidth="1"/>
    <col min="11" max="19" width="9" style="1"/>
  </cols>
  <sheetData>
    <row r="1" customFormat="1" ht="40" customHeight="1" spans="1:19">
      <c r="A1" s="3" t="s">
        <v>66</v>
      </c>
      <c r="B1" s="3"/>
      <c r="C1" s="3"/>
      <c r="D1" s="4"/>
      <c r="E1" s="4"/>
      <c r="F1" s="4"/>
      <c r="G1" s="41"/>
      <c r="H1" s="4"/>
      <c r="I1" s="4"/>
      <c r="J1" s="3"/>
      <c r="K1" s="1"/>
      <c r="L1" s="1"/>
      <c r="M1" s="1"/>
      <c r="N1" s="1"/>
      <c r="O1" s="1"/>
      <c r="P1" s="1"/>
      <c r="Q1" s="1"/>
      <c r="R1" s="1"/>
      <c r="S1" s="1"/>
    </row>
    <row r="2" customFormat="1" ht="18" customHeight="1" spans="1:19">
      <c r="A2" s="8" t="s">
        <v>1</v>
      </c>
      <c r="B2" s="9" t="s">
        <v>22</v>
      </c>
      <c r="C2" s="9" t="s">
        <v>23</v>
      </c>
      <c r="D2" s="10" t="s">
        <v>24</v>
      </c>
      <c r="E2" s="10" t="s">
        <v>67</v>
      </c>
      <c r="F2" s="10" t="s">
        <v>68</v>
      </c>
      <c r="G2" s="42" t="s">
        <v>69</v>
      </c>
      <c r="H2" s="43" t="s">
        <v>63</v>
      </c>
      <c r="I2" s="43" t="s">
        <v>70</v>
      </c>
      <c r="J2" s="51" t="s">
        <v>8</v>
      </c>
      <c r="K2" s="1"/>
      <c r="L2" s="1"/>
      <c r="M2" s="1"/>
      <c r="N2" s="1"/>
      <c r="O2" s="1"/>
      <c r="P2" s="1"/>
      <c r="Q2" s="1"/>
      <c r="R2" s="1"/>
      <c r="S2" s="1"/>
    </row>
    <row r="3" customFormat="1" ht="18" customHeight="1" spans="1:19">
      <c r="A3" s="22">
        <v>1</v>
      </c>
      <c r="B3" s="44" t="s">
        <v>71</v>
      </c>
      <c r="C3" s="39" t="s">
        <v>34</v>
      </c>
      <c r="D3" s="20">
        <f>ROUND(274.25*1.015,2)</f>
        <v>278.36</v>
      </c>
      <c r="E3" s="20">
        <v>360</v>
      </c>
      <c r="F3" s="20">
        <f>ROUND(D3*E3,2)</f>
        <v>100209.6</v>
      </c>
      <c r="G3" s="45">
        <v>0.03</v>
      </c>
      <c r="H3" s="46">
        <f>ROUND(F3*G3,2)</f>
        <v>3006.29</v>
      </c>
      <c r="I3" s="46">
        <f>F3+H3</f>
        <v>103215.89</v>
      </c>
      <c r="J3" s="52"/>
      <c r="K3" s="1"/>
      <c r="L3" s="1"/>
      <c r="M3" s="1"/>
      <c r="N3" s="1"/>
      <c r="O3" s="1"/>
      <c r="P3" s="1"/>
      <c r="Q3" s="1"/>
      <c r="R3" s="1"/>
      <c r="S3" s="1"/>
    </row>
    <row r="4" customFormat="1" ht="18" customHeight="1" spans="1:19">
      <c r="A4" s="22">
        <v>2</v>
      </c>
      <c r="B4" s="44" t="s">
        <v>72</v>
      </c>
      <c r="C4" s="39" t="s">
        <v>34</v>
      </c>
      <c r="D4" s="20">
        <f>ROUND(1369*1.015,2)</f>
        <v>1389.54</v>
      </c>
      <c r="E4" s="20">
        <v>360</v>
      </c>
      <c r="F4" s="20">
        <f>ROUND(D4*E4,2)</f>
        <v>500234.4</v>
      </c>
      <c r="G4" s="45">
        <v>0.03</v>
      </c>
      <c r="H4" s="46">
        <f>ROUND(F4*G4,2)</f>
        <v>15007.03</v>
      </c>
      <c r="I4" s="46">
        <f>F4+H4</f>
        <v>515241.43</v>
      </c>
      <c r="J4" s="52"/>
      <c r="K4" s="1"/>
      <c r="L4" s="1"/>
      <c r="M4" s="1"/>
      <c r="N4" s="1"/>
      <c r="O4" s="1"/>
      <c r="P4" s="1"/>
      <c r="Q4" s="1"/>
      <c r="R4" s="1"/>
      <c r="S4" s="1"/>
    </row>
    <row r="5" customFormat="1" ht="18" customHeight="1" spans="1:19">
      <c r="A5" s="22">
        <v>3</v>
      </c>
      <c r="B5" s="44" t="s">
        <v>73</v>
      </c>
      <c r="C5" s="39" t="s">
        <v>34</v>
      </c>
      <c r="D5" s="20">
        <f>ROUND(99.2*1.015,2)</f>
        <v>100.69</v>
      </c>
      <c r="E5" s="20">
        <v>555</v>
      </c>
      <c r="F5" s="20">
        <f>ROUND(D5*E5,2)</f>
        <v>55882.95</v>
      </c>
      <c r="G5" s="45">
        <v>0.03</v>
      </c>
      <c r="H5" s="46">
        <f>ROUND(F5*G5,2)</f>
        <v>1676.49</v>
      </c>
      <c r="I5" s="46">
        <f>F5+H5</f>
        <v>57559.44</v>
      </c>
      <c r="J5" s="52"/>
      <c r="K5" s="1"/>
      <c r="L5" s="1"/>
      <c r="M5" s="1"/>
      <c r="N5" s="1"/>
      <c r="O5" s="1"/>
      <c r="P5" s="1"/>
      <c r="Q5" s="1"/>
      <c r="R5" s="1"/>
      <c r="S5" s="1"/>
    </row>
    <row r="6" customFormat="1" ht="18" customHeight="1" spans="1:19">
      <c r="A6" s="32"/>
      <c r="B6" s="33" t="s">
        <v>65</v>
      </c>
      <c r="C6" s="34"/>
      <c r="D6" s="35"/>
      <c r="E6" s="35"/>
      <c r="F6" s="47"/>
      <c r="G6" s="48"/>
      <c r="H6" s="49"/>
      <c r="I6" s="49">
        <f>SUM(I3:I5)</f>
        <v>676016.76</v>
      </c>
      <c r="J6" s="53"/>
      <c r="K6" s="1"/>
      <c r="L6" s="1"/>
      <c r="M6" s="1"/>
      <c r="N6" s="1"/>
      <c r="O6" s="1"/>
      <c r="P6" s="1"/>
      <c r="Q6" s="1"/>
      <c r="R6" s="1"/>
      <c r="S6" s="1"/>
    </row>
    <row r="7" ht="18" customHeight="1"/>
    <row r="8" ht="18" hidden="1" customHeight="1" spans="1:6">
      <c r="A8" s="39"/>
      <c r="B8" s="50" t="s">
        <v>74</v>
      </c>
      <c r="C8" s="39" t="s">
        <v>34</v>
      </c>
      <c r="D8" s="20">
        <v>916.34</v>
      </c>
      <c r="E8" s="20">
        <v>154.83</v>
      </c>
      <c r="F8" s="20">
        <f>ROUND(D8*E8,2)</f>
        <v>141876.92</v>
      </c>
    </row>
    <row r="9" ht="18" hidden="1" customHeight="1" spans="1:6">
      <c r="A9" s="39"/>
      <c r="B9" s="50" t="s">
        <v>75</v>
      </c>
      <c r="C9" s="39" t="s">
        <v>34</v>
      </c>
      <c r="D9" s="20">
        <f>1231.96+1219.16+303.66</f>
        <v>2754.78</v>
      </c>
      <c r="E9" s="20">
        <v>139.16</v>
      </c>
      <c r="F9" s="20">
        <f>ROUND(D9*E9,2)</f>
        <v>383355.18</v>
      </c>
    </row>
    <row r="10" ht="18" hidden="1" customHeight="1" spans="1:6">
      <c r="A10" s="39"/>
      <c r="B10" s="50" t="s">
        <v>76</v>
      </c>
      <c r="C10" s="39" t="s">
        <v>77</v>
      </c>
      <c r="D10" s="20">
        <v>690.3</v>
      </c>
      <c r="E10" s="20">
        <v>404.32</v>
      </c>
      <c r="F10" s="20">
        <f>ROUND(D10*E10,2)</f>
        <v>279102.1</v>
      </c>
    </row>
    <row r="11" ht="18" hidden="1" customHeight="1" spans="1:6">
      <c r="A11" s="39"/>
      <c r="B11" s="50" t="s">
        <v>78</v>
      </c>
      <c r="C11" s="39" t="s">
        <v>34</v>
      </c>
      <c r="D11" s="20">
        <f>ROUND(274.25*1.015,2)</f>
        <v>278.36</v>
      </c>
      <c r="E11" s="20">
        <v>333.88</v>
      </c>
      <c r="F11" s="20">
        <f>ROUND(D11*E11,2)</f>
        <v>92938.84</v>
      </c>
    </row>
    <row r="12" ht="18" hidden="1" customHeight="1" spans="1:6">
      <c r="A12" s="39"/>
      <c r="B12" s="50" t="s">
        <v>79</v>
      </c>
      <c r="C12" s="39" t="s">
        <v>34</v>
      </c>
      <c r="D12" s="20">
        <v>99.2</v>
      </c>
      <c r="E12" s="20">
        <v>33.63</v>
      </c>
      <c r="F12" s="20">
        <f>ROUND(D12*E12,2)</f>
        <v>3336.1</v>
      </c>
    </row>
    <row r="13" ht="18" hidden="1" customHeight="1" spans="1:6">
      <c r="A13" s="39"/>
      <c r="B13" s="50"/>
      <c r="C13" s="39"/>
      <c r="D13" s="20"/>
      <c r="E13" s="20"/>
      <c r="F13" s="20">
        <f>SUM(F8:F12)</f>
        <v>900609.14</v>
      </c>
    </row>
    <row r="14" ht="18" hidden="1" customHeight="1" spans="1:6">
      <c r="A14" s="39"/>
      <c r="B14" s="50"/>
      <c r="C14" s="39"/>
      <c r="D14" s="20"/>
      <c r="E14" s="20"/>
      <c r="F14" s="20"/>
    </row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</sheetData>
  <mergeCells count="1">
    <mergeCell ref="A1:J1"/>
  </mergeCells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tabSelected="1" zoomScale="175" zoomScaleNormal="175" workbookViewId="0">
      <selection activeCell="F10" sqref="F10"/>
    </sheetView>
  </sheetViews>
  <sheetFormatPr defaultColWidth="9" defaultRowHeight="13.5"/>
  <cols>
    <col min="1" max="1" width="6.425" style="1" customWidth="1"/>
    <col min="2" max="2" width="35.1333333333333" style="1" customWidth="1"/>
    <col min="3" max="3" width="6.075" style="1" customWidth="1"/>
    <col min="4" max="4" width="11.7833333333333" style="2" customWidth="1"/>
    <col min="5" max="5" width="13.4916666666667" style="2" customWidth="1"/>
    <col min="6" max="6" width="17.2166666666667" style="2" customWidth="1"/>
    <col min="7" max="15" width="9" style="1"/>
  </cols>
  <sheetData>
    <row r="1" customFormat="1" ht="52" customHeight="1" spans="1:15">
      <c r="A1" s="3" t="s">
        <v>80</v>
      </c>
      <c r="B1" s="3"/>
      <c r="C1" s="3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</row>
    <row r="2" customFormat="1" ht="20" customHeight="1" spans="1:15">
      <c r="A2" s="5"/>
      <c r="B2" s="5"/>
      <c r="C2" s="5"/>
      <c r="D2" s="6"/>
      <c r="E2" s="6"/>
      <c r="F2" s="7" t="s">
        <v>21</v>
      </c>
      <c r="G2" s="1"/>
      <c r="H2" s="1"/>
      <c r="I2" s="1"/>
      <c r="J2" s="1"/>
      <c r="K2" s="1"/>
      <c r="L2" s="1"/>
      <c r="M2" s="1"/>
      <c r="N2" s="1"/>
      <c r="O2" s="1"/>
    </row>
    <row r="3" customFormat="1" ht="66" customHeight="1" spans="1:15">
      <c r="A3" s="8" t="s">
        <v>1</v>
      </c>
      <c r="B3" s="9" t="s">
        <v>22</v>
      </c>
      <c r="C3" s="9" t="s">
        <v>23</v>
      </c>
      <c r="D3" s="10" t="s">
        <v>24</v>
      </c>
      <c r="E3" s="10" t="s">
        <v>25</v>
      </c>
      <c r="F3" s="11" t="s">
        <v>26</v>
      </c>
      <c r="G3" s="1"/>
      <c r="H3" s="1"/>
      <c r="I3" s="1"/>
      <c r="J3" s="1"/>
      <c r="K3" s="1"/>
      <c r="L3" s="1"/>
      <c r="M3" s="1"/>
      <c r="N3" s="1"/>
      <c r="O3" s="1"/>
    </row>
    <row r="4" customFormat="1" ht="66" customHeight="1" spans="1:15">
      <c r="A4" s="12" t="s">
        <v>9</v>
      </c>
      <c r="B4" s="13" t="s">
        <v>81</v>
      </c>
      <c r="C4" s="13"/>
      <c r="D4" s="14"/>
      <c r="E4" s="14"/>
      <c r="F4" s="15">
        <f>F5</f>
        <v>3883176.01</v>
      </c>
      <c r="G4" s="1"/>
      <c r="H4" s="1"/>
      <c r="I4" s="1"/>
      <c r="J4" s="1"/>
      <c r="K4" s="1"/>
      <c r="L4" s="1"/>
      <c r="M4" s="1"/>
      <c r="N4" s="1"/>
      <c r="O4" s="1"/>
    </row>
    <row r="5" customFormat="1" ht="66" customHeight="1" spans="1:15">
      <c r="A5" s="16" t="s">
        <v>28</v>
      </c>
      <c r="B5" s="17" t="s">
        <v>82</v>
      </c>
      <c r="C5" s="18"/>
      <c r="D5" s="19"/>
      <c r="E5" s="20"/>
      <c r="F5" s="21">
        <f>SUM(F6:F9)</f>
        <v>3883176.01</v>
      </c>
      <c r="G5" s="1"/>
      <c r="H5" s="1"/>
      <c r="I5" s="1"/>
      <c r="J5" s="1"/>
      <c r="K5" s="1"/>
      <c r="L5" s="1"/>
      <c r="M5" s="1"/>
      <c r="N5" s="1"/>
      <c r="O5" s="1"/>
    </row>
    <row r="6" customFormat="1" ht="66" customHeight="1" spans="1:15">
      <c r="A6" s="37">
        <v>1</v>
      </c>
      <c r="B6" s="23" t="s">
        <v>83</v>
      </c>
      <c r="C6" s="24" t="s">
        <v>40</v>
      </c>
      <c r="D6" s="25">
        <v>11940</v>
      </c>
      <c r="E6" s="25">
        <v>178.42</v>
      </c>
      <c r="F6" s="38">
        <f t="shared" ref="F6:F9" si="0">ROUND(D6*E6,2)</f>
        <v>2130334.8</v>
      </c>
      <c r="G6" s="1"/>
      <c r="H6" s="1"/>
      <c r="I6" s="1"/>
      <c r="J6" s="1"/>
      <c r="K6" s="1"/>
      <c r="L6" s="1"/>
      <c r="M6" s="1"/>
      <c r="N6" s="1"/>
      <c r="O6" s="1"/>
    </row>
    <row r="7" customFormat="1" ht="66" customHeight="1" spans="1:15">
      <c r="A7" s="37">
        <v>2</v>
      </c>
      <c r="B7" s="23" t="s">
        <v>84</v>
      </c>
      <c r="C7" s="24" t="s">
        <v>40</v>
      </c>
      <c r="D7" s="25">
        <v>7304</v>
      </c>
      <c r="E7" s="25">
        <v>209.59</v>
      </c>
      <c r="F7" s="38">
        <f t="shared" si="0"/>
        <v>1530845.36</v>
      </c>
      <c r="G7" s="1"/>
      <c r="H7" s="1"/>
      <c r="I7" s="1"/>
      <c r="J7" s="1"/>
      <c r="K7" s="1"/>
      <c r="L7" s="1"/>
      <c r="M7" s="1"/>
      <c r="N7" s="1"/>
      <c r="O7" s="1"/>
    </row>
    <row r="8" customFormat="1" ht="66" customHeight="1" spans="1:15">
      <c r="A8" s="37">
        <v>3</v>
      </c>
      <c r="B8" s="23" t="s">
        <v>85</v>
      </c>
      <c r="C8" s="39" t="s">
        <v>86</v>
      </c>
      <c r="D8" s="20">
        <v>95</v>
      </c>
      <c r="E8" s="20">
        <v>101.83</v>
      </c>
      <c r="F8" s="26">
        <f t="shared" si="0"/>
        <v>9673.85</v>
      </c>
      <c r="G8" s="1"/>
      <c r="H8" s="1"/>
      <c r="I8" s="1"/>
      <c r="J8" s="1"/>
      <c r="K8" s="1"/>
      <c r="L8" s="1"/>
      <c r="M8" s="1"/>
      <c r="N8" s="1"/>
      <c r="O8" s="1"/>
    </row>
    <row r="9" customFormat="1" ht="66" customHeight="1" spans="1:15">
      <c r="A9" s="22">
        <v>4</v>
      </c>
      <c r="B9" s="23" t="s">
        <v>87</v>
      </c>
      <c r="C9" s="24" t="s">
        <v>40</v>
      </c>
      <c r="D9" s="25">
        <v>19302</v>
      </c>
      <c r="E9" s="20">
        <v>11</v>
      </c>
      <c r="F9" s="38">
        <f t="shared" si="0"/>
        <v>212322</v>
      </c>
      <c r="G9" s="1"/>
      <c r="H9" s="1"/>
      <c r="I9" s="1"/>
      <c r="J9" s="1"/>
      <c r="K9" s="1"/>
      <c r="L9" s="1"/>
      <c r="M9" s="1"/>
      <c r="N9" s="1"/>
      <c r="O9" s="1"/>
    </row>
    <row r="10" customFormat="1" ht="66" customHeight="1" spans="1:15">
      <c r="A10" s="27" t="s">
        <v>15</v>
      </c>
      <c r="B10" s="28" t="s">
        <v>60</v>
      </c>
      <c r="C10" s="29" t="s">
        <v>61</v>
      </c>
      <c r="D10" s="25">
        <v>0.5</v>
      </c>
      <c r="E10" s="20">
        <f>F4</f>
        <v>3883176.01</v>
      </c>
      <c r="F10" s="30">
        <f>ROUND(D10*E10/100,2)</f>
        <v>19415.88</v>
      </c>
      <c r="G10" s="1"/>
      <c r="H10" s="1"/>
      <c r="I10" s="1"/>
      <c r="J10" s="1"/>
      <c r="K10" s="1"/>
      <c r="L10" s="1"/>
      <c r="M10" s="1"/>
      <c r="N10" s="1"/>
      <c r="O10" s="1"/>
    </row>
    <row r="11" customFormat="1" ht="66" customHeight="1" spans="1:15">
      <c r="A11" s="16" t="s">
        <v>15</v>
      </c>
      <c r="B11" s="18" t="s">
        <v>63</v>
      </c>
      <c r="C11" s="31" t="s">
        <v>61</v>
      </c>
      <c r="D11" s="20">
        <v>9</v>
      </c>
      <c r="E11" s="20">
        <f>F4+F10</f>
        <v>3902591.89</v>
      </c>
      <c r="F11" s="21">
        <f>ROUND(D11*E11/100,2)</f>
        <v>351233.27</v>
      </c>
      <c r="G11" s="1"/>
      <c r="H11" s="1"/>
      <c r="I11" s="1"/>
      <c r="J11" s="1"/>
      <c r="K11" s="1"/>
      <c r="L11" s="1"/>
      <c r="M11" s="1"/>
      <c r="N11" s="1"/>
      <c r="O11" s="1"/>
    </row>
    <row r="12" customFormat="1" ht="66" customHeight="1" spans="1:15">
      <c r="A12" s="32"/>
      <c r="B12" s="33" t="s">
        <v>65</v>
      </c>
      <c r="C12" s="34"/>
      <c r="D12" s="35"/>
      <c r="E12" s="35"/>
      <c r="F12" s="36">
        <f>F4+F10+F11</f>
        <v>4253825.16</v>
      </c>
      <c r="G12" s="1"/>
      <c r="H12" s="1"/>
      <c r="I12" s="1"/>
      <c r="J12" s="1"/>
      <c r="K12" s="1"/>
      <c r="L12" s="1"/>
      <c r="M12" s="1"/>
      <c r="N12" s="1"/>
      <c r="O12" s="1"/>
    </row>
    <row r="13" ht="20" customHeight="1"/>
    <row r="14" ht="20" customHeight="1"/>
    <row r="15" ht="36" customHeight="1"/>
    <row r="16" ht="36" customHeight="1"/>
    <row r="17" ht="36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</sheetData>
  <mergeCells count="1">
    <mergeCell ref="A1:F1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zoomScale="145" zoomScaleNormal="145" topLeftCell="A4" workbookViewId="0">
      <selection activeCell="K10" sqref="K10"/>
    </sheetView>
  </sheetViews>
  <sheetFormatPr defaultColWidth="9" defaultRowHeight="13.5"/>
  <cols>
    <col min="1" max="1" width="5.625" style="1" customWidth="1"/>
    <col min="2" max="2" width="33.7" style="1" customWidth="1"/>
    <col min="3" max="3" width="5.625" style="1" customWidth="1"/>
    <col min="4" max="4" width="11.9833333333333" style="2" customWidth="1"/>
    <col min="5" max="5" width="12.325" style="2" customWidth="1"/>
    <col min="6" max="6" width="17.4916666666667" style="2" customWidth="1"/>
    <col min="7" max="15" width="9" style="1"/>
  </cols>
  <sheetData>
    <row r="1" customFormat="1" ht="55" customHeight="1" spans="1:15">
      <c r="A1" s="3" t="s">
        <v>88</v>
      </c>
      <c r="B1" s="3"/>
      <c r="C1" s="3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</row>
    <row r="2" customFormat="1" ht="20" customHeight="1" spans="1:15">
      <c r="A2" s="5"/>
      <c r="B2" s="5"/>
      <c r="C2" s="5"/>
      <c r="D2" s="6"/>
      <c r="E2" s="7" t="s">
        <v>21</v>
      </c>
      <c r="F2" s="7"/>
      <c r="G2" s="1"/>
      <c r="H2" s="1"/>
      <c r="I2" s="1"/>
      <c r="J2" s="1"/>
      <c r="K2" s="1"/>
      <c r="L2" s="1"/>
      <c r="M2" s="1"/>
      <c r="N2" s="1"/>
      <c r="O2" s="1"/>
    </row>
    <row r="3" customFormat="1" ht="30" customHeight="1" spans="1:15">
      <c r="A3" s="8" t="s">
        <v>1</v>
      </c>
      <c r="B3" s="9" t="s">
        <v>22</v>
      </c>
      <c r="C3" s="9" t="s">
        <v>23</v>
      </c>
      <c r="D3" s="10" t="s">
        <v>24</v>
      </c>
      <c r="E3" s="10" t="s">
        <v>25</v>
      </c>
      <c r="F3" s="11" t="s">
        <v>26</v>
      </c>
      <c r="G3" s="1"/>
      <c r="H3" s="1"/>
      <c r="I3" s="1"/>
      <c r="J3" s="1"/>
      <c r="K3" s="1"/>
      <c r="L3" s="1"/>
      <c r="M3" s="1"/>
      <c r="N3" s="1"/>
      <c r="O3" s="1"/>
    </row>
    <row r="4" customFormat="1" ht="30" customHeight="1" spans="1:15">
      <c r="A4" s="12" t="s">
        <v>9</v>
      </c>
      <c r="B4" s="13" t="s">
        <v>81</v>
      </c>
      <c r="C4" s="13"/>
      <c r="D4" s="14"/>
      <c r="E4" s="14"/>
      <c r="F4" s="15">
        <f>F5</f>
        <v>1154211.52</v>
      </c>
      <c r="G4" s="1"/>
      <c r="H4" s="1"/>
      <c r="I4" s="1"/>
      <c r="J4" s="1"/>
      <c r="K4" s="1"/>
      <c r="L4" s="1"/>
      <c r="M4" s="1"/>
      <c r="N4" s="1"/>
      <c r="O4" s="1"/>
    </row>
    <row r="5" customFormat="1" ht="30" customHeight="1" spans="1:15">
      <c r="A5" s="16" t="s">
        <v>28</v>
      </c>
      <c r="B5" s="17" t="s">
        <v>82</v>
      </c>
      <c r="C5" s="18"/>
      <c r="D5" s="19"/>
      <c r="E5" s="20"/>
      <c r="F5" s="21">
        <f>SUM(F6:F20)</f>
        <v>1154211.52</v>
      </c>
      <c r="G5" s="1"/>
      <c r="H5" s="1"/>
      <c r="I5" s="1"/>
      <c r="J5" s="1"/>
      <c r="K5" s="1"/>
      <c r="L5" s="1"/>
      <c r="M5" s="1"/>
      <c r="N5" s="1"/>
      <c r="O5" s="1"/>
    </row>
    <row r="6" customFormat="1" ht="30" customHeight="1" spans="1:15">
      <c r="A6" s="22">
        <v>1</v>
      </c>
      <c r="B6" s="23" t="s">
        <v>89</v>
      </c>
      <c r="C6" s="24" t="s">
        <v>31</v>
      </c>
      <c r="D6" s="25">
        <v>20247.1</v>
      </c>
      <c r="E6" s="20">
        <v>31</v>
      </c>
      <c r="F6" s="26">
        <f t="shared" ref="F6:F20" si="0">ROUND(D6*E6,2)</f>
        <v>627660.1</v>
      </c>
      <c r="G6" s="1"/>
      <c r="H6" s="1"/>
      <c r="I6" s="1"/>
      <c r="J6" s="1"/>
      <c r="K6" s="1"/>
      <c r="L6" s="1"/>
      <c r="M6" s="1"/>
      <c r="N6" s="1"/>
      <c r="O6" s="1"/>
    </row>
    <row r="7" customFormat="1" ht="30" customHeight="1" spans="1:15">
      <c r="A7" s="22">
        <v>2</v>
      </c>
      <c r="B7" s="23" t="s">
        <v>90</v>
      </c>
      <c r="C7" s="24" t="s">
        <v>31</v>
      </c>
      <c r="D7" s="25">
        <v>628</v>
      </c>
      <c r="E7" s="20">
        <v>95</v>
      </c>
      <c r="F7" s="26">
        <f t="shared" si="0"/>
        <v>59660</v>
      </c>
      <c r="G7" s="1"/>
      <c r="H7" s="1"/>
      <c r="I7" s="1"/>
      <c r="J7" s="1"/>
      <c r="K7" s="1"/>
      <c r="L7" s="1"/>
      <c r="M7" s="1"/>
      <c r="N7" s="1"/>
      <c r="O7" s="1"/>
    </row>
    <row r="8" customFormat="1" ht="30" customHeight="1" spans="1:15">
      <c r="A8" s="22">
        <v>3</v>
      </c>
      <c r="B8" s="23" t="s">
        <v>91</v>
      </c>
      <c r="C8" s="24" t="s">
        <v>31</v>
      </c>
      <c r="D8" s="25">
        <v>3026</v>
      </c>
      <c r="E8" s="20">
        <v>14</v>
      </c>
      <c r="F8" s="26">
        <f t="shared" si="0"/>
        <v>42364</v>
      </c>
      <c r="G8" s="1"/>
      <c r="H8" s="1"/>
      <c r="I8" s="1"/>
      <c r="J8" s="1"/>
      <c r="K8" s="1"/>
      <c r="L8" s="1"/>
      <c r="M8" s="1"/>
      <c r="N8" s="1"/>
      <c r="O8" s="1"/>
    </row>
    <row r="9" customFormat="1" ht="30" customHeight="1" spans="1:15">
      <c r="A9" s="22">
        <v>4</v>
      </c>
      <c r="B9" s="23" t="s">
        <v>92</v>
      </c>
      <c r="C9" s="24" t="s">
        <v>31</v>
      </c>
      <c r="D9" s="25">
        <v>3150</v>
      </c>
      <c r="E9" s="20">
        <v>100</v>
      </c>
      <c r="F9" s="26">
        <f t="shared" si="0"/>
        <v>315000</v>
      </c>
      <c r="G9" s="1"/>
      <c r="H9" s="1"/>
      <c r="I9" s="1"/>
      <c r="J9" s="1"/>
      <c r="K9" s="1"/>
      <c r="L9" s="1"/>
      <c r="M9" s="1"/>
      <c r="N9" s="1"/>
      <c r="O9" s="1"/>
    </row>
    <row r="10" customFormat="1" ht="30" customHeight="1" spans="1:15">
      <c r="A10" s="22">
        <v>5</v>
      </c>
      <c r="B10" s="23" t="s">
        <v>93</v>
      </c>
      <c r="C10" s="24" t="s">
        <v>31</v>
      </c>
      <c r="D10" s="25">
        <v>1350</v>
      </c>
      <c r="E10" s="20">
        <v>14</v>
      </c>
      <c r="F10" s="26">
        <f t="shared" si="0"/>
        <v>18900</v>
      </c>
      <c r="G10" s="1"/>
      <c r="H10" s="1"/>
      <c r="I10" s="1"/>
      <c r="J10" s="1"/>
      <c r="K10" s="1"/>
      <c r="L10" s="1"/>
      <c r="M10" s="1"/>
      <c r="N10" s="1"/>
      <c r="O10" s="1"/>
    </row>
    <row r="11" customFormat="1" ht="30" customHeight="1" spans="1:15">
      <c r="A11" s="22">
        <v>6</v>
      </c>
      <c r="B11" s="23" t="s">
        <v>94</v>
      </c>
      <c r="C11" s="24" t="s">
        <v>95</v>
      </c>
      <c r="D11" s="25">
        <v>4</v>
      </c>
      <c r="E11" s="20">
        <f>873.28+34.36</f>
        <v>907.64</v>
      </c>
      <c r="F11" s="26">
        <f t="shared" si="0"/>
        <v>3630.56</v>
      </c>
      <c r="G11" s="1"/>
      <c r="H11" s="1"/>
      <c r="I11" s="1"/>
      <c r="J11" s="1"/>
      <c r="K11" s="1"/>
      <c r="L11" s="1"/>
      <c r="M11" s="1"/>
      <c r="N11" s="1"/>
      <c r="O11" s="1"/>
    </row>
    <row r="12" customFormat="1" ht="30" customHeight="1" spans="1:15">
      <c r="A12" s="22">
        <v>7</v>
      </c>
      <c r="B12" s="23" t="s">
        <v>96</v>
      </c>
      <c r="C12" s="24" t="s">
        <v>95</v>
      </c>
      <c r="D12" s="25">
        <v>1</v>
      </c>
      <c r="E12" s="20">
        <v>873.28</v>
      </c>
      <c r="F12" s="26">
        <f t="shared" si="0"/>
        <v>873.28</v>
      </c>
      <c r="G12" s="1"/>
      <c r="H12" s="1"/>
      <c r="I12" s="1"/>
      <c r="J12" s="1"/>
      <c r="K12" s="1"/>
      <c r="L12" s="1"/>
      <c r="M12" s="1"/>
      <c r="N12" s="1"/>
      <c r="O12" s="1"/>
    </row>
    <row r="13" customFormat="1" ht="30" customHeight="1" spans="1:15">
      <c r="A13" s="22">
        <v>8</v>
      </c>
      <c r="B13" s="23" t="s">
        <v>97</v>
      </c>
      <c r="C13" s="24" t="s">
        <v>95</v>
      </c>
      <c r="D13" s="25">
        <v>11</v>
      </c>
      <c r="E13" s="20">
        <v>223.25</v>
      </c>
      <c r="F13" s="26">
        <f t="shared" si="0"/>
        <v>2455.75</v>
      </c>
      <c r="G13" s="1"/>
      <c r="H13" s="1"/>
      <c r="I13" s="1"/>
      <c r="J13" s="1"/>
      <c r="K13" s="1"/>
      <c r="L13" s="1"/>
      <c r="M13" s="1"/>
      <c r="N13" s="1"/>
      <c r="O13" s="1"/>
    </row>
    <row r="14" customFormat="1" ht="30" customHeight="1" spans="1:15">
      <c r="A14" s="22">
        <v>9</v>
      </c>
      <c r="B14" s="23" t="s">
        <v>98</v>
      </c>
      <c r="C14" s="24" t="s">
        <v>99</v>
      </c>
      <c r="D14" s="25">
        <v>7</v>
      </c>
      <c r="E14" s="20">
        <v>4889.71</v>
      </c>
      <c r="F14" s="26">
        <f t="shared" si="0"/>
        <v>34227.97</v>
      </c>
      <c r="G14" s="1"/>
      <c r="H14" s="1"/>
      <c r="I14" s="1"/>
      <c r="J14" s="1"/>
      <c r="K14" s="1"/>
      <c r="L14" s="1"/>
      <c r="M14" s="1"/>
      <c r="N14" s="1"/>
      <c r="O14" s="1"/>
    </row>
    <row r="15" customFormat="1" ht="30" customHeight="1" spans="1:15">
      <c r="A15" s="22">
        <v>10</v>
      </c>
      <c r="B15" s="23" t="s">
        <v>100</v>
      </c>
      <c r="C15" s="24" t="s">
        <v>95</v>
      </c>
      <c r="D15" s="25">
        <v>25</v>
      </c>
      <c r="E15" s="20">
        <v>552.14</v>
      </c>
      <c r="F15" s="26">
        <f t="shared" si="0"/>
        <v>13803.5</v>
      </c>
      <c r="G15" s="1"/>
      <c r="H15" s="1"/>
      <c r="I15" s="1"/>
      <c r="J15" s="1"/>
      <c r="K15" s="1"/>
      <c r="L15" s="1"/>
      <c r="M15" s="1"/>
      <c r="N15" s="1"/>
      <c r="O15" s="1"/>
    </row>
    <row r="16" customFormat="1" ht="30" customHeight="1" spans="1:15">
      <c r="A16" s="22">
        <v>11</v>
      </c>
      <c r="B16" s="23" t="s">
        <v>101</v>
      </c>
      <c r="C16" s="24" t="s">
        <v>102</v>
      </c>
      <c r="D16" s="25">
        <v>6</v>
      </c>
      <c r="E16" s="20">
        <v>155.96</v>
      </c>
      <c r="F16" s="26">
        <f t="shared" si="0"/>
        <v>935.76</v>
      </c>
      <c r="G16" s="1"/>
      <c r="H16" s="1"/>
      <c r="I16" s="1"/>
      <c r="J16" s="1"/>
      <c r="K16" s="1"/>
      <c r="L16" s="1"/>
      <c r="M16" s="1"/>
      <c r="N16" s="1"/>
      <c r="O16" s="1"/>
    </row>
    <row r="17" customFormat="1" ht="30" customHeight="1" spans="1:15">
      <c r="A17" s="22">
        <v>12</v>
      </c>
      <c r="B17" s="23" t="s">
        <v>103</v>
      </c>
      <c r="C17" s="24" t="s">
        <v>102</v>
      </c>
      <c r="D17" s="25">
        <v>6</v>
      </c>
      <c r="E17" s="20">
        <v>64.22</v>
      </c>
      <c r="F17" s="26">
        <f t="shared" si="0"/>
        <v>385.32</v>
      </c>
      <c r="G17" s="1"/>
      <c r="H17" s="1"/>
      <c r="I17" s="1"/>
      <c r="J17" s="1"/>
      <c r="K17" s="1"/>
      <c r="L17" s="1"/>
      <c r="M17" s="1"/>
      <c r="N17" s="1"/>
      <c r="O17" s="1"/>
    </row>
    <row r="18" customFormat="1" ht="30" customHeight="1" spans="1:15">
      <c r="A18" s="22">
        <v>13</v>
      </c>
      <c r="B18" s="23" t="s">
        <v>104</v>
      </c>
      <c r="C18" s="24" t="s">
        <v>95</v>
      </c>
      <c r="D18" s="25">
        <v>18</v>
      </c>
      <c r="E18" s="20">
        <f>ROUND(41.61/1.09*0.9,2)</f>
        <v>34.36</v>
      </c>
      <c r="F18" s="26">
        <f t="shared" si="0"/>
        <v>618.48</v>
      </c>
      <c r="G18" s="1"/>
      <c r="H18" s="1"/>
      <c r="I18" s="1"/>
      <c r="J18" s="1"/>
      <c r="K18" s="1"/>
      <c r="L18" s="1"/>
      <c r="M18" s="1"/>
      <c r="N18" s="1"/>
      <c r="O18" s="1"/>
    </row>
    <row r="19" customFormat="1" ht="30" customHeight="1" spans="1:15">
      <c r="A19" s="22">
        <v>14</v>
      </c>
      <c r="B19" s="23" t="s">
        <v>105</v>
      </c>
      <c r="C19" s="24" t="s">
        <v>95</v>
      </c>
      <c r="D19" s="20">
        <v>53</v>
      </c>
      <c r="E19" s="20">
        <v>621.52</v>
      </c>
      <c r="F19" s="26">
        <f t="shared" si="0"/>
        <v>32940.56</v>
      </c>
      <c r="G19" s="1"/>
      <c r="H19" s="1"/>
      <c r="I19" s="1"/>
      <c r="J19" s="1"/>
      <c r="K19" s="1"/>
      <c r="L19" s="1"/>
      <c r="M19" s="1"/>
      <c r="N19" s="1"/>
      <c r="O19" s="1"/>
    </row>
    <row r="20" customFormat="1" ht="30" customHeight="1" spans="1:15">
      <c r="A20" s="22">
        <v>15</v>
      </c>
      <c r="B20" s="23" t="s">
        <v>106</v>
      </c>
      <c r="C20" s="24" t="s">
        <v>95</v>
      </c>
      <c r="D20" s="25">
        <v>46</v>
      </c>
      <c r="E20" s="20">
        <f>ROUND(19.91/1.09*0.9,2)</f>
        <v>16.44</v>
      </c>
      <c r="F20" s="26">
        <f t="shared" si="0"/>
        <v>756.24</v>
      </c>
      <c r="G20" s="1"/>
      <c r="H20" s="1"/>
      <c r="I20" s="1"/>
      <c r="J20" s="1"/>
      <c r="K20" s="1"/>
      <c r="L20" s="1"/>
      <c r="M20" s="1"/>
      <c r="N20" s="1"/>
      <c r="O20" s="1"/>
    </row>
    <row r="21" customFormat="1" ht="30" customHeight="1" spans="1:15">
      <c r="A21" s="27" t="s">
        <v>15</v>
      </c>
      <c r="B21" s="28" t="s">
        <v>60</v>
      </c>
      <c r="C21" s="29" t="s">
        <v>61</v>
      </c>
      <c r="D21" s="25">
        <v>0.5</v>
      </c>
      <c r="E21" s="20">
        <f>F4</f>
        <v>1154211.52</v>
      </c>
      <c r="F21" s="30">
        <f>ROUND(D21*E21/100,2)</f>
        <v>5771.06</v>
      </c>
      <c r="G21" s="1"/>
      <c r="H21" s="1"/>
      <c r="I21" s="1"/>
      <c r="J21" s="1"/>
      <c r="K21" s="1"/>
      <c r="L21" s="1"/>
      <c r="M21" s="1"/>
      <c r="N21" s="1"/>
      <c r="O21" s="1"/>
    </row>
    <row r="22" customFormat="1" ht="30" customHeight="1" spans="1:15">
      <c r="A22" s="16" t="s">
        <v>15</v>
      </c>
      <c r="B22" s="18" t="s">
        <v>63</v>
      </c>
      <c r="C22" s="31" t="s">
        <v>61</v>
      </c>
      <c r="D22" s="20">
        <v>9</v>
      </c>
      <c r="E22" s="20">
        <f>F4+F21</f>
        <v>1159982.58</v>
      </c>
      <c r="F22" s="21">
        <f>ROUND(D22*E22/100,2)</f>
        <v>104398.43</v>
      </c>
      <c r="G22" s="1"/>
      <c r="H22" s="1"/>
      <c r="I22" s="1"/>
      <c r="J22" s="1"/>
      <c r="K22" s="1"/>
      <c r="L22" s="1"/>
      <c r="M22" s="1"/>
      <c r="N22" s="1"/>
      <c r="O22" s="1"/>
    </row>
    <row r="23" customFormat="1" ht="30" customHeight="1" spans="1:15">
      <c r="A23" s="32"/>
      <c r="B23" s="33" t="s">
        <v>65</v>
      </c>
      <c r="C23" s="34"/>
      <c r="D23" s="35"/>
      <c r="E23" s="35"/>
      <c r="F23" s="36">
        <f>F4+F21+F22</f>
        <v>1264381.01</v>
      </c>
      <c r="G23" s="1"/>
      <c r="H23" s="1"/>
      <c r="I23" s="1"/>
      <c r="J23" s="1"/>
      <c r="K23" s="1"/>
      <c r="L23" s="1"/>
      <c r="M23" s="1"/>
      <c r="N23" s="1"/>
      <c r="O23" s="1"/>
    </row>
    <row r="24" ht="20" customHeight="1"/>
    <row r="25" ht="20" customHeight="1"/>
    <row r="26" ht="36" customHeight="1"/>
    <row r="27" ht="36" customHeight="1"/>
    <row r="28" ht="36" customHeight="1"/>
    <row r="29" ht="36" customHeight="1"/>
    <row r="30" ht="36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2">
    <mergeCell ref="A1:F1"/>
    <mergeCell ref="E2:F2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包1（路基）</vt:lpstr>
      <vt:lpstr>包2（材料）</vt:lpstr>
      <vt:lpstr>包4</vt:lpstr>
      <vt:lpstr>包5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意随心动</cp:lastModifiedBy>
  <dcterms:created xsi:type="dcterms:W3CDTF">2025-04-08T15:37:00Z</dcterms:created>
  <dcterms:modified xsi:type="dcterms:W3CDTF">2025-08-01T03:44:08Z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274DB01767A04598A00EF7E0A9A132E2_13</vt:lpwstr>
  </property>
  <property fmtid="{D5CDD505-2E9C-101B-9397-08002B2CF9AE}" pid="3" name="KSOProductBuildVer">
    <vt:lpwstr>2052-12.1.0.21915</vt:lpwstr>
  </property>
</Properties>
</file>