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30" windowHeight="9560" tabRatio="911" firstSheet="6" activeTab="7"/>
  </bookViews>
  <sheets>
    <sheet name="包1路基一标段（K0+000-K2+000）" sheetId="2" r:id="rId1"/>
    <sheet name="包1路基二标段（K2+000-K4+000）" sheetId="24" r:id="rId2"/>
    <sheet name="包1路基三标段（K4+000-K6+000）" sheetId="25" r:id="rId3"/>
    <sheet name="包1路基四标段（K6+000-K8+000）" sheetId="26" r:id="rId4"/>
    <sheet name="包1路基五标段（K8+000-K9+000）" sheetId="27" r:id="rId5"/>
    <sheet name="包1路基六标段（K9+000-K10+000）" sheetId="33" r:id="rId6"/>
    <sheet name="包1路基七标段（K10+000-K12+000）" sheetId="29" r:id="rId7"/>
    <sheet name="包1路基八标段（K12+000-K14+300）" sheetId="30" r:id="rId8"/>
    <sheet name="包2" sheetId="12" r:id="rId9"/>
    <sheet name="包3" sheetId="13" r:id="rId10"/>
    <sheet name="包4" sheetId="21" r:id="rId11"/>
    <sheet name="包7" sheetId="2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<sst xmlns="http://schemas.openxmlformats.org/spreadsheetml/2006/main" count="1309" uniqueCount="152">
  <si>
    <t>彭水自治县万足至石盘段公路及安全提升工程              一标段（K0+000-K2+000）路基施工劳务</t>
  </si>
  <si>
    <t>单位：元</t>
  </si>
  <si>
    <t>序号</t>
  </si>
  <si>
    <t>项目名称</t>
  </si>
  <si>
    <t>单位</t>
  </si>
  <si>
    <t>工作内容</t>
  </si>
  <si>
    <t>工程量</t>
  </si>
  <si>
    <t>单价</t>
  </si>
  <si>
    <t>合价</t>
  </si>
  <si>
    <t>一</t>
  </si>
  <si>
    <t>劳务费用</t>
  </si>
  <si>
    <t>（一）</t>
  </si>
  <si>
    <t>清单 第200章 路基</t>
  </si>
  <si>
    <t>伐树挖根</t>
  </si>
  <si>
    <t>棵</t>
  </si>
  <si>
    <t>1、伐树挖根                 2、包含完成此项工作的一切费用</t>
  </si>
  <si>
    <t>砍挖灌木</t>
  </si>
  <si>
    <t>m2</t>
  </si>
  <si>
    <t>1、砍挖灌木                 2、包含完成此项工作的一切费用</t>
  </si>
  <si>
    <t>路基挖土方</t>
  </si>
  <si>
    <t>m3</t>
  </si>
  <si>
    <t>1、挖装、运输至指定位置、卸除                      2、包含完成此项工作的一切费用</t>
  </si>
  <si>
    <t>路基挖软石</t>
  </si>
  <si>
    <t>1、打眼、爆破、撬移、解小、挖装、运输至指定位置、卸除                        2、包含完成此项工作的一切费用</t>
  </si>
  <si>
    <t>路基挖次坚石</t>
  </si>
  <si>
    <t>运费（3km以内）</t>
  </si>
  <si>
    <t>1、挖装、运输、卸除、推平 2、包含完成此项工作的一切费用</t>
  </si>
  <si>
    <t>运费（每增运1km）</t>
  </si>
  <si>
    <t>利用土方填筑</t>
  </si>
  <si>
    <t>1、挖装、运输、卸除、推平、压实、修整、洒水        2、包含完成此项工作的一切费用</t>
  </si>
  <si>
    <t>利用石方填筑</t>
  </si>
  <si>
    <t>石方利用</t>
  </si>
  <si>
    <t>挡墙墙背回填</t>
  </si>
  <si>
    <t>1、碎石运输、卸除、修坡、压实                       2、包含除碎石材料费外的一切费用</t>
  </si>
  <si>
    <t>M7.5浆砌片石（边沟）</t>
  </si>
  <si>
    <t>1、砂浆原材料运输、砂浆拌和、运输、选修石、砌筑、填缝、找平                        2、包含除砂浆、块石材料费外的一切费用</t>
  </si>
  <si>
    <t>C25现浇混凝土（边沟）</t>
  </si>
  <si>
    <t>1、混凝土原材料运输、混凝土拌和、运输、模板制安、浇筑、振捣                  2、包含除混凝土材料费外的一切费用</t>
  </si>
  <si>
    <t>第 1 页，共 3 页</t>
  </si>
  <si>
    <t>φ50cm钢筋混凝土排水管</t>
  </si>
  <si>
    <t>m</t>
  </si>
  <si>
    <t>1、原材料运输、土石方开挖、单孔钢筋混凝土圆管涵安装、洞口块石砌筑、回填      2、包含除块石、砂浆、混凝土材料费外的一切费用</t>
  </si>
  <si>
    <t>M7.5浆砌片石（护肩、路肩墙、路堤墙）</t>
  </si>
  <si>
    <t>C20片石混凝土（护肩、路肩墙、路堤墙）</t>
  </si>
  <si>
    <t>1、混凝土原材料、片石运输、混凝土拌和、运输、模板制安、浇筑、振捣                  2、包含除混凝土、片石材料费外的一切费用</t>
  </si>
  <si>
    <t>Φ100mmPVC泄水管</t>
  </si>
  <si>
    <t>1、泄水管制安                  2、包含完成此项工作的一切费用</t>
  </si>
  <si>
    <t>1-φ32mm锚杆</t>
  </si>
  <si>
    <t>根</t>
  </si>
  <si>
    <t>1、钻孔、锚杆制作、拌制砂浆、锚定、封孔            2、包含完成此项工作的一切费用</t>
  </si>
  <si>
    <t>（二）</t>
  </si>
  <si>
    <t>清单 第300章  路面</t>
  </si>
  <si>
    <t>破碎水泥砼板</t>
  </si>
  <si>
    <t>C25混凝土路肩</t>
  </si>
  <si>
    <t>（三）</t>
  </si>
  <si>
    <t>清单 第400章  桥梁、涵洞</t>
  </si>
  <si>
    <t>φ1.0m单孔钢筋混凝土圆管涵</t>
  </si>
  <si>
    <t>1m*1.5m盖板涵</t>
  </si>
  <si>
    <t>1、原材料运输、土石方开挖、混凝土拌和、运输、模板制安、浇筑、振捣、钢筋制安、洞口块石砌筑、回填         2、包含除钢筋、混凝土材料费外的一切费用</t>
  </si>
  <si>
    <t>（四）</t>
  </si>
  <si>
    <t>交叉工程</t>
  </si>
  <si>
    <t>第 2 页，共 3 页</t>
  </si>
  <si>
    <t>20cm厚C30混凝土面层</t>
  </si>
  <si>
    <t>（五）</t>
  </si>
  <si>
    <t>清单 第600章  交通安全设施及预埋管线</t>
  </si>
  <si>
    <t>拆除波形梁护栏</t>
  </si>
  <si>
    <t>1、拆除、运输至指定位置    2、包含完成此项工作的一切费用</t>
  </si>
  <si>
    <t>二</t>
  </si>
  <si>
    <t>安全生产费</t>
  </si>
  <si>
    <t>%</t>
  </si>
  <si>
    <t>三</t>
  </si>
  <si>
    <t>拌和设备安拆</t>
  </si>
  <si>
    <t>项</t>
  </si>
  <si>
    <t>四</t>
  </si>
  <si>
    <t>税金</t>
  </si>
  <si>
    <t>总计</t>
  </si>
  <si>
    <t>第 3 页，共 3 页</t>
  </si>
  <si>
    <t xml:space="preserve">彭水自治县万足至石盘段公路及安全提升工程              二标段（K2+000-K4+000）路基施工劳务                    </t>
  </si>
  <si>
    <t>碎石垫层</t>
  </si>
  <si>
    <t>土工格栅</t>
  </si>
  <si>
    <t>1、土工格栅                       2、包含除碎石材料费外的一切费用</t>
  </si>
  <si>
    <t>第 1 页，共 2 页</t>
  </si>
  <si>
    <t>浆砌片石排水沟</t>
  </si>
  <si>
    <t>现浇混凝土排水沟</t>
  </si>
  <si>
    <t>C30现浇混凝土盖板沟</t>
  </si>
  <si>
    <t>1、原材料运输、混凝土拌和、运输、模板制安、钢筋制安、浇筑、振捣                  2、包含除混凝土、钢筋材料费外的一切费用</t>
  </si>
  <si>
    <t>第 2 页，共 2 页</t>
  </si>
  <si>
    <t>2m*2m盖板涵</t>
  </si>
  <si>
    <t>（六）</t>
  </si>
  <si>
    <t>其他工程（改路）</t>
  </si>
  <si>
    <t>M7.5浆砌片石（晒坝）</t>
  </si>
  <si>
    <t>20cm厚C20水泥混凝土面层（晒坝）</t>
  </si>
  <si>
    <t>彭水自治县万足至石盘段公路及安全提升工程              三标段（K4+000-K6+000）路基施工劳务</t>
  </si>
  <si>
    <t>C30混凝土（钢筋混凝土护栏，含钢筋制安）</t>
  </si>
  <si>
    <t>彭水自治县万足至石盘段公路及安全提升工程              四标段（K6+000-K8+000）路基施工劳务</t>
  </si>
  <si>
    <t>第 1 页，共 4 页</t>
  </si>
  <si>
    <t>第 2 页，共 4 页</t>
  </si>
  <si>
    <t>20cmC30水泥砼</t>
  </si>
  <si>
    <t>路面钢筋</t>
  </si>
  <si>
    <t>t</t>
  </si>
  <si>
    <t>1、钢筋制安                  2、包含除钢筋材料费外的一切费用</t>
  </si>
  <si>
    <t>第 3 页，共 4 页</t>
  </si>
  <si>
    <t>C25混凝土（边沟）</t>
  </si>
  <si>
    <t>第 4 页，共 4 页</t>
  </si>
  <si>
    <t>彭水自治县万足至石盘段公路及安全提升工程              五标段（K8+000-K9+000）路基施工劳务</t>
  </si>
  <si>
    <t>C20片石混凝土排水沟（取土坑、弃土场）</t>
  </si>
  <si>
    <t>1、砂浆原材料、片石运输、混凝土拌和运输、选修石、砌筑、填缝、找平                        2、包含除块石、混凝土材料费外的一切费用</t>
  </si>
  <si>
    <t>盲沟（取土坑、弃土场）</t>
  </si>
  <si>
    <t>M7.5浆砌片石（拦渣坝）</t>
  </si>
  <si>
    <t>彭水自治县万足至石盘段公路及安全提升工程              六标段（K9+000-K10+000）路基施工劳务</t>
  </si>
  <si>
    <t>C30混凝土（钢筋混凝土护栏）</t>
  </si>
  <si>
    <t>彭水自治县万足至石盘段公路及安全提升工程              七标段（K10+000-K12+000）路基施工劳务</t>
  </si>
  <si>
    <t>彭水自治县万足至石盘段公路及安全提升工程              八标段（K12+000-K14+300）路基施工劳务</t>
  </si>
  <si>
    <t>拉毛水泥砼板</t>
  </si>
  <si>
    <t>1、拉毛                     2、包含完成此项工作的一切费用</t>
  </si>
  <si>
    <t>20cm厚C30混凝土面层修复</t>
  </si>
  <si>
    <t>15cm厚C15早强混凝土基层修复</t>
  </si>
  <si>
    <t>30cm厚手摆片石换填软基（旧路面）</t>
  </si>
  <si>
    <t>1、片石运输、卸除、铺设、压实                       2、包含除片石材料费外的一切费用</t>
  </si>
  <si>
    <t>凿毛（旧路面）</t>
  </si>
  <si>
    <t>1、凿毛                     2、包含完成此项工作的一切费用</t>
  </si>
  <si>
    <t>APP防水卷材贴缝</t>
  </si>
  <si>
    <t>1、防水卷材铺贴                     2、包含完成此项工作的一切费用</t>
  </si>
  <si>
    <t>包2（钢筋、砂石、水泥）--大宗材料</t>
  </si>
  <si>
    <t>材料单价</t>
  </si>
  <si>
    <t>材料合价</t>
  </si>
  <si>
    <t>税率</t>
  </si>
  <si>
    <t>含税材料合价</t>
  </si>
  <si>
    <t>备注</t>
  </si>
  <si>
    <t>HPB300钢筋</t>
  </si>
  <si>
    <t>HPB400钢筋</t>
  </si>
  <si>
    <t>42.5级水泥</t>
  </si>
  <si>
    <t>机制砂</t>
  </si>
  <si>
    <t>砂砾</t>
  </si>
  <si>
    <t>碎石</t>
  </si>
  <si>
    <t>包3（边坡喷锚）--专业分包</t>
  </si>
  <si>
    <t>工程费用</t>
  </si>
  <si>
    <t>挂网锚喷</t>
  </si>
  <si>
    <t>1、钻孔、锚杆制作、拌制砂浆、锚定、封孔、钢筋下料、运输、焊接、绑扎、配料、上料、拌和、喷射、处理回弹料、养护                       2、包含完成此项工作的一切费用</t>
  </si>
  <si>
    <t>包4（波形护栏）--专业分包</t>
  </si>
  <si>
    <t>第600章  交通安全设施及预埋管线</t>
  </si>
  <si>
    <t>Gr-C-4E波形梁钢护栏</t>
  </si>
  <si>
    <t>1、包含完成此项工作的一切费用</t>
  </si>
  <si>
    <t>Gr-C-2E波形梁钢护栏</t>
  </si>
  <si>
    <t>路肩加宽C25砼</t>
  </si>
  <si>
    <t>附着式轮廓标</t>
  </si>
  <si>
    <t>个</t>
  </si>
  <si>
    <t>C级波形梁护栏（改路）</t>
  </si>
  <si>
    <t>包7（水稳层）--专业分包</t>
  </si>
  <si>
    <t>180mm厚水泥稳定碎石底基层（4%水泥含量）</t>
  </si>
  <si>
    <t>200mm厚级配碎石底基层</t>
  </si>
  <si>
    <t>180mm厚水泥稳定碎石底基层（5%水泥含量）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</si>
</sst>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8"/>
  <sheetViews>
    <sheetView topLeftCell="A38" workbookViewId="0">
      <selection activeCell="A38" sqref="A38:G38"/>
    </sheetView>
  </sheetViews>
  <sheetFormatPr defaultColWidth="9" defaultRowHeight="14"/>
  <cols>
    <col min="1" max="1" width="5.62727272727273" style="57" customWidth="1"/>
    <col min="2" max="2" width="22.6272727272727" style="57" customWidth="1"/>
    <col min="3" max="3" width="5.62727272727273" style="57" customWidth="1"/>
    <col min="4" max="4" width="20.6272727272727" style="57" customWidth="1"/>
    <col min="5" max="5" width="10.6272727272727" style="58" customWidth="1"/>
    <col min="6" max="6" width="12.6272727272727" style="58" customWidth="1"/>
    <col min="7" max="7" width="13.6272727272727" style="58" customWidth="1"/>
    <col min="8" max="16" width="9" style="57"/>
    <col min="17" max="16384" width="9" style="56"/>
  </cols>
  <sheetData>
    <row r="1" s="56" customFormat="1" ht="47" customHeight="1" spans="1:16">
      <c r="A1" s="59" t="s">
        <v>0</v>
      </c>
      <c r="B1" s="59"/>
      <c r="C1" s="59"/>
      <c r="D1" s="59"/>
      <c r="E1" s="60"/>
      <c r="F1" s="60"/>
      <c r="G1" s="60"/>
      <c r="H1" s="57"/>
      <c r="I1" s="57"/>
      <c r="J1" s="57"/>
      <c r="K1" s="57"/>
      <c r="L1" s="57"/>
      <c r="M1" s="57"/>
      <c r="N1" s="57"/>
      <c r="O1" s="57"/>
      <c r="P1" s="57"/>
    </row>
    <row r="2" s="56" customFormat="1" ht="20" customHeight="1" spans="1:16">
      <c r="A2" s="59"/>
      <c r="B2" s="59"/>
      <c r="C2" s="59"/>
      <c r="D2" s="59"/>
      <c r="E2" s="60"/>
      <c r="F2" s="6" t="s">
        <v>1</v>
      </c>
      <c r="G2" s="6"/>
      <c r="H2" s="57"/>
      <c r="I2" s="57"/>
      <c r="J2" s="57"/>
      <c r="K2" s="57"/>
      <c r="L2" s="57"/>
      <c r="M2" s="57"/>
      <c r="N2" s="57"/>
      <c r="O2" s="57"/>
      <c r="P2" s="57"/>
    </row>
    <row r="3" s="56" customFormat="1" ht="20" customHeight="1" spans="1:16">
      <c r="A3" s="61" t="s">
        <v>2</v>
      </c>
      <c r="B3" s="62" t="s">
        <v>3</v>
      </c>
      <c r="C3" s="62" t="s">
        <v>4</v>
      </c>
      <c r="D3" s="62" t="s">
        <v>5</v>
      </c>
      <c r="E3" s="63" t="s">
        <v>6</v>
      </c>
      <c r="F3" s="63" t="s">
        <v>7</v>
      </c>
      <c r="G3" s="64" t="s">
        <v>8</v>
      </c>
      <c r="H3" s="57"/>
      <c r="I3" s="57"/>
      <c r="J3" s="57"/>
      <c r="K3" s="57"/>
      <c r="L3" s="57"/>
      <c r="M3" s="57"/>
      <c r="N3" s="57"/>
      <c r="O3" s="57"/>
      <c r="P3" s="57"/>
    </row>
    <row r="4" s="56" customFormat="1" ht="20" customHeight="1" spans="1:16">
      <c r="A4" s="65" t="s">
        <v>9</v>
      </c>
      <c r="B4" s="66" t="s">
        <v>10</v>
      </c>
      <c r="C4" s="66"/>
      <c r="D4" s="66"/>
      <c r="E4" s="67"/>
      <c r="F4" s="67"/>
      <c r="G4" s="68">
        <f>G5+G28+G31+G34+G44</f>
        <v>3422851.87</v>
      </c>
      <c r="H4" s="57"/>
      <c r="I4" s="57"/>
      <c r="J4" s="57"/>
      <c r="K4" s="57"/>
      <c r="L4" s="57"/>
      <c r="M4" s="57"/>
      <c r="N4" s="57"/>
      <c r="O4" s="57"/>
      <c r="P4" s="57"/>
    </row>
    <row r="5" s="56" customFormat="1" ht="20" customHeight="1" spans="1:16">
      <c r="A5" s="15" t="s">
        <v>11</v>
      </c>
      <c r="B5" s="16" t="s">
        <v>12</v>
      </c>
      <c r="C5" s="69"/>
      <c r="D5" s="69"/>
      <c r="E5" s="70"/>
      <c r="F5" s="18"/>
      <c r="G5" s="19">
        <f>SUM(G6:G27)</f>
        <v>3135732.14</v>
      </c>
      <c r="H5" s="57"/>
      <c r="I5" s="57"/>
      <c r="J5" s="57"/>
      <c r="K5" s="57"/>
      <c r="L5" s="57"/>
      <c r="M5" s="57"/>
      <c r="N5" s="57"/>
      <c r="O5" s="57"/>
      <c r="P5" s="57"/>
    </row>
    <row r="6" s="56" customFormat="1" ht="36" spans="1:16">
      <c r="A6" s="20">
        <v>1</v>
      </c>
      <c r="B6" s="25" t="s">
        <v>13</v>
      </c>
      <c r="C6" s="22" t="s">
        <v>14</v>
      </c>
      <c r="D6" s="25" t="s">
        <v>15</v>
      </c>
      <c r="E6" s="23">
        <f>1419+4061</f>
        <v>5480</v>
      </c>
      <c r="F6" s="23">
        <v>26.39</v>
      </c>
      <c r="G6" s="40">
        <f t="shared" ref="G6:G23" si="0">ROUND(E6*F6,2)</f>
        <v>144617.2</v>
      </c>
      <c r="H6" s="57"/>
      <c r="I6" s="57"/>
      <c r="J6" s="57"/>
      <c r="K6" s="57"/>
      <c r="L6" s="57"/>
      <c r="M6" s="57"/>
      <c r="N6" s="57"/>
      <c r="O6" s="57"/>
      <c r="P6" s="57"/>
    </row>
    <row r="7" s="56" customFormat="1" ht="36" spans="1:16">
      <c r="A7" s="20">
        <v>2</v>
      </c>
      <c r="B7" s="25" t="s">
        <v>16</v>
      </c>
      <c r="C7" s="22" t="s">
        <v>17</v>
      </c>
      <c r="D7" s="25" t="s">
        <v>18</v>
      </c>
      <c r="E7" s="23">
        <v>861</v>
      </c>
      <c r="F7" s="18">
        <v>1.24</v>
      </c>
      <c r="G7" s="40">
        <f t="shared" si="0"/>
        <v>1067.64</v>
      </c>
      <c r="H7" s="57"/>
      <c r="I7" s="57"/>
      <c r="J7" s="57"/>
      <c r="K7" s="57"/>
      <c r="L7" s="57"/>
      <c r="M7" s="57"/>
      <c r="N7" s="57"/>
      <c r="O7" s="57"/>
      <c r="P7" s="57"/>
    </row>
    <row r="8" s="56" customFormat="1" ht="48" spans="1:16">
      <c r="A8" s="20">
        <v>3</v>
      </c>
      <c r="B8" s="21" t="s">
        <v>19</v>
      </c>
      <c r="C8" s="17" t="s">
        <v>20</v>
      </c>
      <c r="D8" s="21" t="s">
        <v>21</v>
      </c>
      <c r="E8" s="18">
        <f>2479.13+8016.55</f>
        <v>10495.68</v>
      </c>
      <c r="F8" s="18">
        <v>3.94</v>
      </c>
      <c r="G8" s="40">
        <f t="shared" si="0"/>
        <v>41352.98</v>
      </c>
      <c r="H8" s="57"/>
      <c r="I8" s="57"/>
      <c r="J8" s="57"/>
      <c r="K8" s="57"/>
      <c r="L8" s="57"/>
      <c r="M8" s="57"/>
      <c r="N8" s="57"/>
      <c r="O8" s="57"/>
      <c r="P8" s="57"/>
    </row>
    <row r="9" s="56" customFormat="1" ht="60" spans="1:16">
      <c r="A9" s="20">
        <v>4</v>
      </c>
      <c r="B9" s="71" t="s">
        <v>22</v>
      </c>
      <c r="C9" s="72" t="s">
        <v>20</v>
      </c>
      <c r="D9" s="21" t="s">
        <v>23</v>
      </c>
      <c r="E9" s="73">
        <f>12395.65+30965.35</f>
        <v>43361</v>
      </c>
      <c r="F9" s="18">
        <v>10.61</v>
      </c>
      <c r="G9" s="40">
        <f t="shared" si="0"/>
        <v>460060.21</v>
      </c>
      <c r="H9" s="57"/>
      <c r="I9" s="57"/>
      <c r="J9" s="57"/>
      <c r="K9" s="57"/>
      <c r="L9" s="57"/>
      <c r="M9" s="57"/>
      <c r="N9" s="57"/>
      <c r="O9" s="57"/>
      <c r="P9" s="57"/>
    </row>
    <row r="10" s="56" customFormat="1" ht="60" spans="1:16">
      <c r="A10" s="20">
        <v>5</v>
      </c>
      <c r="B10" s="21" t="s">
        <v>24</v>
      </c>
      <c r="C10" s="17" t="s">
        <v>20</v>
      </c>
      <c r="D10" s="21" t="s">
        <v>23</v>
      </c>
      <c r="E10" s="18">
        <f>9916.52+22948.8</f>
        <v>32865.32</v>
      </c>
      <c r="F10" s="18">
        <v>15.59</v>
      </c>
      <c r="G10" s="40">
        <f t="shared" si="0"/>
        <v>512370.34</v>
      </c>
      <c r="H10" s="57"/>
      <c r="I10" s="57"/>
      <c r="J10" s="57"/>
      <c r="K10" s="57"/>
      <c r="L10" s="57"/>
      <c r="M10" s="57"/>
      <c r="N10" s="57"/>
      <c r="O10" s="57"/>
      <c r="P10" s="57"/>
    </row>
    <row r="11" s="56" customFormat="1" ht="36" spans="1:16">
      <c r="A11" s="20">
        <v>6</v>
      </c>
      <c r="B11" s="21" t="s">
        <v>25</v>
      </c>
      <c r="C11" s="72" t="s">
        <v>20</v>
      </c>
      <c r="D11" s="71" t="s">
        <v>26</v>
      </c>
      <c r="E11" s="18">
        <f>E8+E9+E10-E13-E14-E15</f>
        <v>73762.39</v>
      </c>
      <c r="F11" s="18">
        <v>6.85</v>
      </c>
      <c r="G11" s="40">
        <f t="shared" si="0"/>
        <v>505272.37</v>
      </c>
      <c r="H11" s="57"/>
      <c r="I11" s="57"/>
      <c r="J11" s="57"/>
      <c r="K11" s="57"/>
      <c r="L11" s="57"/>
      <c r="M11" s="57"/>
      <c r="N11" s="57"/>
      <c r="O11" s="57"/>
      <c r="P11" s="57"/>
    </row>
    <row r="12" s="56" customFormat="1" ht="36" spans="1:16">
      <c r="A12" s="20">
        <v>7</v>
      </c>
      <c r="B12" s="21" t="s">
        <v>27</v>
      </c>
      <c r="C12" s="17" t="s">
        <v>20</v>
      </c>
      <c r="D12" s="71" t="s">
        <v>26</v>
      </c>
      <c r="E12" s="18">
        <f>E11</f>
        <v>73762.39</v>
      </c>
      <c r="F12" s="18">
        <v>1.26</v>
      </c>
      <c r="G12" s="40">
        <f t="shared" si="0"/>
        <v>92940.61</v>
      </c>
      <c r="H12" s="57"/>
      <c r="I12" s="57"/>
      <c r="J12" s="57"/>
      <c r="K12" s="57"/>
      <c r="L12" s="57"/>
      <c r="M12" s="57"/>
      <c r="N12" s="57"/>
      <c r="O12" s="57"/>
      <c r="P12" s="57"/>
    </row>
    <row r="13" s="56" customFormat="1" ht="48" spans="1:16">
      <c r="A13" s="20">
        <v>8</v>
      </c>
      <c r="B13" s="21" t="s">
        <v>28</v>
      </c>
      <c r="C13" s="17" t="s">
        <v>20</v>
      </c>
      <c r="D13" s="21" t="s">
        <v>29</v>
      </c>
      <c r="E13" s="23">
        <f>589.77+1393.03</f>
        <v>1982.8</v>
      </c>
      <c r="F13" s="18">
        <v>2.94</v>
      </c>
      <c r="G13" s="40">
        <f t="shared" si="0"/>
        <v>5829.43</v>
      </c>
      <c r="H13" s="57"/>
      <c r="I13" s="57"/>
      <c r="J13" s="57"/>
      <c r="K13" s="57"/>
      <c r="L13" s="57"/>
      <c r="M13" s="57"/>
      <c r="N13" s="57"/>
      <c r="O13" s="57"/>
      <c r="P13" s="57"/>
    </row>
    <row r="14" s="56" customFormat="1" ht="48" spans="1:16">
      <c r="A14" s="20">
        <v>9</v>
      </c>
      <c r="B14" s="21" t="s">
        <v>30</v>
      </c>
      <c r="C14" s="17" t="s">
        <v>20</v>
      </c>
      <c r="D14" s="21" t="s">
        <v>29</v>
      </c>
      <c r="E14" s="23">
        <f>1329.45+2923.24</f>
        <v>4252.69</v>
      </c>
      <c r="F14" s="18">
        <v>4.53</v>
      </c>
      <c r="G14" s="40">
        <f t="shared" si="0"/>
        <v>19264.69</v>
      </c>
      <c r="H14" s="57"/>
      <c r="I14" s="57"/>
      <c r="J14" s="57"/>
      <c r="K14" s="57"/>
      <c r="L14" s="57"/>
      <c r="M14" s="57"/>
      <c r="N14" s="57"/>
      <c r="O14" s="57"/>
      <c r="P14" s="57"/>
    </row>
    <row r="15" s="56" customFormat="1" ht="36" spans="1:16">
      <c r="A15" s="20">
        <v>10</v>
      </c>
      <c r="B15" s="21" t="s">
        <v>31</v>
      </c>
      <c r="C15" s="17" t="s">
        <v>20</v>
      </c>
      <c r="D15" s="71" t="s">
        <v>26</v>
      </c>
      <c r="E15" s="23">
        <v>6724.12</v>
      </c>
      <c r="F15" s="18">
        <v>25</v>
      </c>
      <c r="G15" s="40">
        <f t="shared" si="0"/>
        <v>168103</v>
      </c>
      <c r="H15" s="57"/>
      <c r="I15" s="57"/>
      <c r="J15" s="57"/>
      <c r="K15" s="57"/>
      <c r="L15" s="57"/>
      <c r="M15" s="57"/>
      <c r="N15" s="57"/>
      <c r="O15" s="57"/>
      <c r="P15" s="57"/>
    </row>
    <row r="16" s="56" customFormat="1" ht="48" spans="1:16">
      <c r="A16" s="20">
        <v>11</v>
      </c>
      <c r="B16" s="25" t="s">
        <v>32</v>
      </c>
      <c r="C16" s="22" t="s">
        <v>20</v>
      </c>
      <c r="D16" s="21" t="s">
        <v>33</v>
      </c>
      <c r="E16" s="23">
        <f>188.9+725.9</f>
        <v>914.8</v>
      </c>
      <c r="F16" s="18">
        <v>9.71</v>
      </c>
      <c r="G16" s="40">
        <f t="shared" si="0"/>
        <v>8882.71</v>
      </c>
      <c r="H16" s="57"/>
      <c r="I16" s="57"/>
      <c r="J16" s="57"/>
      <c r="K16" s="57"/>
      <c r="L16" s="57"/>
      <c r="M16" s="57"/>
      <c r="N16" s="57"/>
      <c r="O16" s="57"/>
      <c r="P16" s="57"/>
    </row>
    <row r="17" s="56" customFormat="1" ht="60" spans="1:16">
      <c r="A17" s="20">
        <v>12</v>
      </c>
      <c r="B17" s="25" t="s">
        <v>34</v>
      </c>
      <c r="C17" s="22" t="s">
        <v>20</v>
      </c>
      <c r="D17" s="21" t="s">
        <v>35</v>
      </c>
      <c r="E17" s="23">
        <f>280.5+46.8</f>
        <v>327.3</v>
      </c>
      <c r="F17" s="18">
        <v>128.83</v>
      </c>
      <c r="G17" s="40">
        <f t="shared" si="0"/>
        <v>42166.06</v>
      </c>
      <c r="H17" s="57"/>
      <c r="I17" s="57"/>
      <c r="J17" s="57"/>
      <c r="K17" s="57"/>
      <c r="L17" s="57"/>
      <c r="M17" s="57"/>
      <c r="N17" s="57"/>
      <c r="O17" s="57"/>
      <c r="P17" s="57"/>
    </row>
    <row r="18" s="56" customFormat="1" ht="60" spans="1:16">
      <c r="A18" s="20">
        <v>13</v>
      </c>
      <c r="B18" s="25" t="s">
        <v>36</v>
      </c>
      <c r="C18" s="22" t="s">
        <v>20</v>
      </c>
      <c r="D18" s="21" t="s">
        <v>37</v>
      </c>
      <c r="E18" s="23">
        <f>100.8+128.32</f>
        <v>229.12</v>
      </c>
      <c r="F18" s="18">
        <v>125.35</v>
      </c>
      <c r="G18" s="40">
        <f t="shared" si="0"/>
        <v>28720.19</v>
      </c>
      <c r="H18" s="57"/>
      <c r="I18" s="57"/>
      <c r="J18" s="57"/>
      <c r="K18" s="57"/>
      <c r="L18" s="57"/>
      <c r="M18" s="57"/>
      <c r="N18" s="57"/>
      <c r="O18" s="57"/>
      <c r="P18" s="57"/>
    </row>
    <row r="19" s="56" customFormat="1" ht="20" customHeight="1" spans="1:16">
      <c r="A19" s="74" t="s">
        <v>38</v>
      </c>
      <c r="B19" s="75"/>
      <c r="C19" s="75"/>
      <c r="D19" s="75"/>
      <c r="E19" s="75"/>
      <c r="F19" s="75"/>
      <c r="G19" s="76"/>
      <c r="H19" s="57"/>
      <c r="I19" s="57"/>
      <c r="J19" s="57"/>
      <c r="K19" s="57"/>
      <c r="L19" s="57"/>
      <c r="M19" s="57"/>
      <c r="N19" s="57"/>
      <c r="O19" s="57"/>
      <c r="P19" s="57"/>
    </row>
    <row r="20" s="56" customFormat="1" ht="55" customHeight="1" spans="1:16">
      <c r="A20" s="59" t="s">
        <v>0</v>
      </c>
      <c r="B20" s="59"/>
      <c r="C20" s="59"/>
      <c r="D20" s="59"/>
      <c r="E20" s="60"/>
      <c r="F20" s="60"/>
      <c r="G20" s="60"/>
      <c r="H20" s="57"/>
      <c r="I20" s="57"/>
      <c r="J20" s="57"/>
      <c r="K20" s="57"/>
      <c r="L20" s="57"/>
      <c r="M20" s="57"/>
      <c r="N20" s="57"/>
      <c r="O20" s="57"/>
      <c r="P20" s="57"/>
    </row>
    <row r="21" s="56" customFormat="1" ht="20" customHeight="1" spans="1:16">
      <c r="A21" s="59"/>
      <c r="B21" s="59"/>
      <c r="C21" s="59"/>
      <c r="D21" s="59"/>
      <c r="E21" s="60"/>
      <c r="F21" s="60"/>
      <c r="G21" s="6" t="s">
        <v>1</v>
      </c>
      <c r="H21" s="57"/>
      <c r="I21" s="57"/>
      <c r="J21" s="57"/>
      <c r="K21" s="57"/>
      <c r="L21" s="57"/>
      <c r="M21" s="57"/>
      <c r="N21" s="57"/>
      <c r="O21" s="57"/>
      <c r="P21" s="57"/>
    </row>
    <row r="22" s="56" customFormat="1" ht="20" customHeight="1" spans="1:16">
      <c r="A22" s="61" t="s">
        <v>2</v>
      </c>
      <c r="B22" s="62" t="s">
        <v>3</v>
      </c>
      <c r="C22" s="62" t="s">
        <v>4</v>
      </c>
      <c r="D22" s="62" t="s">
        <v>5</v>
      </c>
      <c r="E22" s="63" t="s">
        <v>6</v>
      </c>
      <c r="F22" s="63" t="s">
        <v>7</v>
      </c>
      <c r="G22" s="64" t="s">
        <v>8</v>
      </c>
      <c r="H22" s="57"/>
      <c r="I22" s="57"/>
      <c r="J22" s="57"/>
      <c r="K22" s="57"/>
      <c r="L22" s="57"/>
      <c r="M22" s="57"/>
      <c r="N22" s="57"/>
      <c r="O22" s="57"/>
      <c r="P22" s="57"/>
    </row>
    <row r="23" s="56" customFormat="1" ht="60" spans="1:16">
      <c r="A23" s="20">
        <v>14</v>
      </c>
      <c r="B23" s="25" t="s">
        <v>39</v>
      </c>
      <c r="C23" s="22" t="s">
        <v>40</v>
      </c>
      <c r="D23" s="25" t="s">
        <v>41</v>
      </c>
      <c r="E23" s="23">
        <f>65</f>
        <v>65</v>
      </c>
      <c r="F23" s="18">
        <v>213.44</v>
      </c>
      <c r="G23" s="40">
        <f>ROUND(E23*F23,2)</f>
        <v>13873.6</v>
      </c>
      <c r="H23" s="57"/>
      <c r="I23" s="57"/>
      <c r="J23" s="57"/>
      <c r="K23" s="57"/>
      <c r="L23" s="57"/>
      <c r="M23" s="57"/>
      <c r="N23" s="57"/>
      <c r="O23" s="57"/>
      <c r="P23" s="57"/>
    </row>
    <row r="24" s="56" customFormat="1" ht="60" spans="1:16">
      <c r="A24" s="20">
        <v>15</v>
      </c>
      <c r="B24" s="25" t="s">
        <v>42</v>
      </c>
      <c r="C24" s="22" t="s">
        <v>20</v>
      </c>
      <c r="D24" s="21" t="s">
        <v>35</v>
      </c>
      <c r="E24" s="23">
        <f>1185.9+2541.4</f>
        <v>3727.3</v>
      </c>
      <c r="F24" s="18">
        <v>128.83</v>
      </c>
      <c r="G24" s="40">
        <f>ROUND(E24*F24,2)</f>
        <v>480188.06</v>
      </c>
      <c r="H24" s="57"/>
      <c r="I24" s="57"/>
      <c r="J24" s="57"/>
      <c r="K24" s="57"/>
      <c r="L24" s="57"/>
      <c r="M24" s="57"/>
      <c r="N24" s="57"/>
      <c r="O24" s="57"/>
      <c r="P24" s="57"/>
    </row>
    <row r="25" s="56" customFormat="1" ht="60" spans="1:16">
      <c r="A25" s="20">
        <v>16</v>
      </c>
      <c r="B25" s="25" t="s">
        <v>43</v>
      </c>
      <c r="C25" s="22" t="s">
        <v>20</v>
      </c>
      <c r="D25" s="21" t="s">
        <v>44</v>
      </c>
      <c r="E25" s="23">
        <f>3813.6</f>
        <v>3813.6</v>
      </c>
      <c r="F25" s="18">
        <v>109.8</v>
      </c>
      <c r="G25" s="40">
        <f>ROUND(E25*F25,2)</f>
        <v>418733.28</v>
      </c>
      <c r="H25" s="57"/>
      <c r="I25" s="57"/>
      <c r="J25" s="57"/>
      <c r="K25" s="57"/>
      <c r="L25" s="57"/>
      <c r="M25" s="57"/>
      <c r="N25" s="57"/>
      <c r="O25" s="57"/>
      <c r="P25" s="57"/>
    </row>
    <row r="26" s="56" customFormat="1" ht="36" spans="1:16">
      <c r="A26" s="20">
        <v>17</v>
      </c>
      <c r="B26" s="25" t="s">
        <v>45</v>
      </c>
      <c r="C26" s="22" t="s">
        <v>40</v>
      </c>
      <c r="D26" s="71" t="s">
        <v>46</v>
      </c>
      <c r="E26" s="23">
        <f>417.7+1976.7</f>
        <v>2394.4</v>
      </c>
      <c r="F26" s="18">
        <v>20.38</v>
      </c>
      <c r="G26" s="40">
        <f>ROUND(E26*F26,2)</f>
        <v>48797.87</v>
      </c>
      <c r="H26" s="57"/>
      <c r="I26" s="57"/>
      <c r="J26" s="57"/>
      <c r="K26" s="57"/>
      <c r="L26" s="57"/>
      <c r="M26" s="57"/>
      <c r="N26" s="57"/>
      <c r="O26" s="57"/>
      <c r="P26" s="57"/>
    </row>
    <row r="27" s="56" customFormat="1" ht="48" spans="1:16">
      <c r="A27" s="20">
        <v>18</v>
      </c>
      <c r="B27" s="25" t="s">
        <v>47</v>
      </c>
      <c r="C27" s="22" t="s">
        <v>48</v>
      </c>
      <c r="D27" s="21" t="s">
        <v>49</v>
      </c>
      <c r="E27" s="23">
        <v>170</v>
      </c>
      <c r="F27" s="18">
        <v>844.07</v>
      </c>
      <c r="G27" s="40">
        <f>ROUND(E27*F27,2)</f>
        <v>143491.9</v>
      </c>
      <c r="H27" s="57"/>
      <c r="I27" s="57"/>
      <c r="J27" s="57"/>
      <c r="K27" s="57"/>
      <c r="L27" s="57"/>
      <c r="M27" s="57"/>
      <c r="N27" s="57"/>
      <c r="O27" s="57"/>
      <c r="P27" s="57"/>
    </row>
    <row r="28" s="56" customFormat="1" ht="20" customHeight="1" spans="1:16">
      <c r="A28" s="15" t="s">
        <v>50</v>
      </c>
      <c r="B28" s="16" t="s">
        <v>51</v>
      </c>
      <c r="C28" s="17"/>
      <c r="D28" s="17"/>
      <c r="E28" s="18"/>
      <c r="F28" s="18"/>
      <c r="G28" s="19">
        <f>SUM(G29:G30)</f>
        <v>132914.1</v>
      </c>
      <c r="H28" s="57"/>
      <c r="I28" s="57"/>
      <c r="J28" s="57"/>
      <c r="K28" s="57"/>
      <c r="L28" s="57"/>
      <c r="M28" s="57"/>
      <c r="N28" s="57"/>
      <c r="O28" s="57"/>
      <c r="P28" s="57"/>
    </row>
    <row r="29" s="56" customFormat="1" ht="36" spans="1:16">
      <c r="A29" s="39">
        <v>1</v>
      </c>
      <c r="B29" s="21" t="s">
        <v>52</v>
      </c>
      <c r="C29" s="22" t="s">
        <v>20</v>
      </c>
      <c r="D29" s="71" t="s">
        <v>46</v>
      </c>
      <c r="E29" s="18">
        <v>1230</v>
      </c>
      <c r="F29" s="23">
        <v>23.91</v>
      </c>
      <c r="G29" s="24">
        <f>ROUND(E29*F29,2)</f>
        <v>29409.3</v>
      </c>
      <c r="H29" s="57"/>
      <c r="I29" s="57"/>
      <c r="J29" s="57"/>
      <c r="K29" s="57"/>
      <c r="L29" s="57"/>
      <c r="M29" s="57"/>
      <c r="N29" s="57"/>
      <c r="O29" s="57"/>
      <c r="P29" s="57"/>
    </row>
    <row r="30" s="56" customFormat="1" ht="60" spans="1:16">
      <c r="A30" s="39">
        <v>2</v>
      </c>
      <c r="B30" s="25" t="s">
        <v>53</v>
      </c>
      <c r="C30" s="22" t="s">
        <v>20</v>
      </c>
      <c r="D30" s="21" t="s">
        <v>37</v>
      </c>
      <c r="E30" s="23">
        <f>420+420</f>
        <v>840</v>
      </c>
      <c r="F30" s="23">
        <v>123.22</v>
      </c>
      <c r="G30" s="24">
        <f>ROUND(E30*F30,2)</f>
        <v>103504.8</v>
      </c>
      <c r="H30" s="57"/>
      <c r="I30" s="57"/>
      <c r="J30" s="57"/>
      <c r="K30" s="57"/>
      <c r="L30" s="57"/>
      <c r="M30" s="57"/>
      <c r="N30" s="57"/>
      <c r="O30" s="57"/>
      <c r="P30" s="57"/>
    </row>
    <row r="31" s="56" customFormat="1" ht="20" customHeight="1" spans="1:16">
      <c r="A31" s="15" t="s">
        <v>54</v>
      </c>
      <c r="B31" s="16" t="s">
        <v>55</v>
      </c>
      <c r="C31" s="17"/>
      <c r="D31" s="17"/>
      <c r="E31" s="18"/>
      <c r="F31" s="18"/>
      <c r="G31" s="19">
        <f>SUM(G32:G33)</f>
        <v>112367.04</v>
      </c>
      <c r="H31" s="57"/>
      <c r="I31" s="57"/>
      <c r="J31" s="57"/>
      <c r="K31" s="57"/>
      <c r="L31" s="57"/>
      <c r="M31" s="57"/>
      <c r="N31" s="57"/>
      <c r="O31" s="57"/>
      <c r="P31" s="57"/>
    </row>
    <row r="32" s="56" customFormat="1" ht="60" spans="1:16">
      <c r="A32" s="20">
        <v>1</v>
      </c>
      <c r="B32" s="25" t="s">
        <v>56</v>
      </c>
      <c r="C32" s="22" t="s">
        <v>40</v>
      </c>
      <c r="D32" s="25" t="s">
        <v>41</v>
      </c>
      <c r="E32" s="23">
        <f>34+28</f>
        <v>62</v>
      </c>
      <c r="F32" s="18">
        <v>1455.92</v>
      </c>
      <c r="G32" s="24">
        <f>ROUND(E32*F32,2)</f>
        <v>90267.04</v>
      </c>
      <c r="H32" s="57"/>
      <c r="I32" s="57"/>
      <c r="J32" s="57"/>
      <c r="K32" s="57"/>
      <c r="L32" s="57"/>
      <c r="M32" s="57"/>
      <c r="N32" s="57"/>
      <c r="O32" s="57"/>
      <c r="P32" s="57"/>
    </row>
    <row r="33" s="56" customFormat="1" ht="72" spans="1:16">
      <c r="A33" s="20">
        <v>2</v>
      </c>
      <c r="B33" s="25" t="s">
        <v>57</v>
      </c>
      <c r="C33" s="22" t="s">
        <v>40</v>
      </c>
      <c r="D33" s="25" t="s">
        <v>58</v>
      </c>
      <c r="E33" s="23">
        <v>13</v>
      </c>
      <c r="F33" s="18">
        <v>1700</v>
      </c>
      <c r="G33" s="24">
        <f>ROUND(E33*F33,2)</f>
        <v>22100</v>
      </c>
      <c r="H33" s="57"/>
      <c r="I33" s="57"/>
      <c r="J33" s="57"/>
      <c r="K33" s="57"/>
      <c r="L33" s="57"/>
      <c r="M33" s="57"/>
      <c r="N33" s="57"/>
      <c r="O33" s="57"/>
      <c r="P33" s="57"/>
    </row>
    <row r="34" s="56" customFormat="1" ht="20" customHeight="1" spans="1:16">
      <c r="A34" s="15" t="s">
        <v>59</v>
      </c>
      <c r="B34" s="16" t="s">
        <v>60</v>
      </c>
      <c r="C34" s="22"/>
      <c r="D34" s="22"/>
      <c r="E34" s="23"/>
      <c r="F34" s="23"/>
      <c r="G34" s="31">
        <f>SUM(G35:G43)</f>
        <v>32801.43</v>
      </c>
      <c r="H34" s="57"/>
      <c r="I34" s="57"/>
      <c r="J34" s="57"/>
      <c r="K34" s="57"/>
      <c r="L34" s="57"/>
      <c r="M34" s="57"/>
      <c r="N34" s="57"/>
      <c r="O34" s="57"/>
      <c r="P34" s="57"/>
    </row>
    <row r="35" s="56" customFormat="1" ht="48" spans="1:16">
      <c r="A35" s="39">
        <v>1</v>
      </c>
      <c r="B35" s="21" t="s">
        <v>19</v>
      </c>
      <c r="C35" s="17" t="s">
        <v>20</v>
      </c>
      <c r="D35" s="21" t="s">
        <v>21</v>
      </c>
      <c r="E35" s="23">
        <f>75.6+250.6</f>
        <v>326.2</v>
      </c>
      <c r="F35" s="18">
        <v>3.94</v>
      </c>
      <c r="G35" s="24">
        <f>ROUND(E35*F35,2)</f>
        <v>1285.23</v>
      </c>
      <c r="H35" s="57"/>
      <c r="I35" s="57"/>
      <c r="J35" s="57"/>
      <c r="K35" s="57"/>
      <c r="L35" s="57"/>
      <c r="M35" s="57"/>
      <c r="N35" s="57"/>
      <c r="O35" s="57"/>
      <c r="P35" s="57"/>
    </row>
    <row r="36" s="56" customFormat="1" ht="60" spans="1:16">
      <c r="A36" s="39">
        <v>2</v>
      </c>
      <c r="B36" s="21" t="s">
        <v>24</v>
      </c>
      <c r="C36" s="17" t="s">
        <v>20</v>
      </c>
      <c r="D36" s="21" t="s">
        <v>23</v>
      </c>
      <c r="E36" s="23">
        <f>176.4+585.4</f>
        <v>761.8</v>
      </c>
      <c r="F36" s="18">
        <v>15.59</v>
      </c>
      <c r="G36" s="24">
        <f>ROUND(E36*F36,2)</f>
        <v>11876.46</v>
      </c>
      <c r="H36" s="57"/>
      <c r="I36" s="57"/>
      <c r="J36" s="57"/>
      <c r="K36" s="57"/>
      <c r="L36" s="57"/>
      <c r="M36" s="57"/>
      <c r="N36" s="57"/>
      <c r="O36" s="57"/>
      <c r="P36" s="57"/>
    </row>
    <row r="37" s="56" customFormat="1" ht="20" customHeight="1" spans="1:16">
      <c r="A37" s="74" t="s">
        <v>61</v>
      </c>
      <c r="B37" s="75"/>
      <c r="C37" s="75"/>
      <c r="D37" s="75"/>
      <c r="E37" s="75"/>
      <c r="F37" s="75"/>
      <c r="G37" s="76"/>
      <c r="H37" s="57"/>
      <c r="I37" s="57"/>
      <c r="J37" s="57"/>
      <c r="K37" s="57"/>
      <c r="L37" s="57"/>
      <c r="M37" s="57"/>
      <c r="N37" s="57"/>
      <c r="O37" s="57"/>
      <c r="P37" s="57"/>
    </row>
    <row r="38" s="56" customFormat="1" ht="47" customHeight="1" spans="1:16">
      <c r="A38" s="59" t="s">
        <v>0</v>
      </c>
      <c r="B38" s="59"/>
      <c r="C38" s="59"/>
      <c r="D38" s="59"/>
      <c r="E38" s="60"/>
      <c r="F38" s="60"/>
      <c r="G38" s="60"/>
      <c r="H38" s="57"/>
      <c r="I38" s="57"/>
      <c r="J38" s="57"/>
      <c r="K38" s="57"/>
      <c r="L38" s="57"/>
      <c r="M38" s="57"/>
      <c r="N38" s="57"/>
      <c r="O38" s="57"/>
      <c r="P38" s="57"/>
    </row>
    <row r="39" s="56" customFormat="1" ht="20" customHeight="1" spans="1:16">
      <c r="A39" s="59"/>
      <c r="B39" s="59"/>
      <c r="C39" s="59"/>
      <c r="D39" s="59"/>
      <c r="E39" s="60"/>
      <c r="F39" s="60"/>
      <c r="G39" s="6" t="s">
        <v>1</v>
      </c>
      <c r="H39" s="57"/>
      <c r="I39" s="57"/>
      <c r="J39" s="57"/>
      <c r="K39" s="57"/>
      <c r="L39" s="57"/>
      <c r="M39" s="57"/>
      <c r="N39" s="57"/>
      <c r="O39" s="57"/>
      <c r="P39" s="57"/>
    </row>
    <row r="40" s="56" customFormat="1" ht="20" customHeight="1" spans="1:16">
      <c r="A40" s="61" t="s">
        <v>2</v>
      </c>
      <c r="B40" s="62" t="s">
        <v>3</v>
      </c>
      <c r="C40" s="62" t="s">
        <v>4</v>
      </c>
      <c r="D40" s="62" t="s">
        <v>5</v>
      </c>
      <c r="E40" s="63" t="s">
        <v>6</v>
      </c>
      <c r="F40" s="63" t="s">
        <v>7</v>
      </c>
      <c r="G40" s="64" t="s">
        <v>8</v>
      </c>
      <c r="H40" s="57"/>
      <c r="I40" s="57"/>
      <c r="J40" s="57"/>
      <c r="K40" s="57"/>
      <c r="L40" s="57"/>
      <c r="M40" s="57"/>
      <c r="N40" s="57"/>
      <c r="O40" s="57"/>
      <c r="P40" s="57"/>
    </row>
    <row r="41" s="56" customFormat="1" ht="36" spans="1:16">
      <c r="A41" s="39">
        <v>3</v>
      </c>
      <c r="B41" s="21" t="s">
        <v>25</v>
      </c>
      <c r="C41" s="72" t="s">
        <v>20</v>
      </c>
      <c r="D41" s="71" t="s">
        <v>26</v>
      </c>
      <c r="E41" s="23">
        <f>E35+E36</f>
        <v>1088</v>
      </c>
      <c r="F41" s="18">
        <v>6.85</v>
      </c>
      <c r="G41" s="24">
        <f>ROUND(E41*F41,2)</f>
        <v>7452.8</v>
      </c>
      <c r="H41" s="57"/>
      <c r="I41" s="57"/>
      <c r="J41" s="57"/>
      <c r="K41" s="57"/>
      <c r="L41" s="57"/>
      <c r="M41" s="57"/>
      <c r="N41" s="57"/>
      <c r="O41" s="57"/>
      <c r="P41" s="57"/>
    </row>
    <row r="42" s="56" customFormat="1" ht="36" spans="1:16">
      <c r="A42" s="39">
        <v>4</v>
      </c>
      <c r="B42" s="21" t="s">
        <v>27</v>
      </c>
      <c r="C42" s="17" t="s">
        <v>20</v>
      </c>
      <c r="D42" s="71" t="s">
        <v>26</v>
      </c>
      <c r="E42" s="23">
        <f>E41</f>
        <v>1088</v>
      </c>
      <c r="F42" s="18">
        <v>1.26</v>
      </c>
      <c r="G42" s="24">
        <f>ROUND(E42*F42,2)</f>
        <v>1370.88</v>
      </c>
      <c r="H42" s="57"/>
      <c r="I42" s="57"/>
      <c r="J42" s="57"/>
      <c r="K42" s="57"/>
      <c r="L42" s="57"/>
      <c r="M42" s="57"/>
      <c r="N42" s="57"/>
      <c r="O42" s="57"/>
      <c r="P42" s="57"/>
    </row>
    <row r="43" s="56" customFormat="1" ht="60" spans="1:16">
      <c r="A43" s="39">
        <v>5</v>
      </c>
      <c r="B43" s="21" t="s">
        <v>62</v>
      </c>
      <c r="C43" s="17" t="s">
        <v>17</v>
      </c>
      <c r="D43" s="21" t="s">
        <v>37</v>
      </c>
      <c r="E43" s="23">
        <v>480.5</v>
      </c>
      <c r="F43" s="18">
        <v>22.51</v>
      </c>
      <c r="G43" s="24">
        <f>ROUND(E43*F43,2)</f>
        <v>10816.06</v>
      </c>
      <c r="H43" s="57"/>
      <c r="I43" s="57"/>
      <c r="J43" s="57"/>
      <c r="K43" s="57"/>
      <c r="L43" s="57"/>
      <c r="M43" s="57"/>
      <c r="N43" s="57"/>
      <c r="O43" s="57"/>
      <c r="P43" s="57"/>
    </row>
    <row r="44" s="56" customFormat="1" ht="30" customHeight="1" spans="1:16">
      <c r="A44" s="15" t="s">
        <v>63</v>
      </c>
      <c r="B44" s="16" t="s">
        <v>64</v>
      </c>
      <c r="C44" s="17"/>
      <c r="D44" s="17"/>
      <c r="E44" s="18"/>
      <c r="F44" s="23"/>
      <c r="G44" s="31">
        <f>SUM(G45:G45)</f>
        <v>9037.16</v>
      </c>
      <c r="H44" s="57"/>
      <c r="I44" s="57"/>
      <c r="J44" s="57"/>
      <c r="K44" s="57"/>
      <c r="L44" s="57"/>
      <c r="M44" s="57"/>
      <c r="N44" s="57"/>
      <c r="O44" s="57"/>
      <c r="P44" s="57"/>
    </row>
    <row r="45" s="56" customFormat="1" ht="36" spans="1:16">
      <c r="A45" s="39">
        <v>1</v>
      </c>
      <c r="B45" s="25" t="s">
        <v>65</v>
      </c>
      <c r="C45" s="22" t="s">
        <v>40</v>
      </c>
      <c r="D45" s="21" t="s">
        <v>66</v>
      </c>
      <c r="E45" s="23">
        <f>517+517</f>
        <v>1034</v>
      </c>
      <c r="F45" s="18">
        <v>8.74</v>
      </c>
      <c r="G45" s="24">
        <f>ROUND(E45*F45,2)</f>
        <v>9037.16</v>
      </c>
      <c r="H45" s="57"/>
      <c r="I45" s="57"/>
      <c r="J45" s="57"/>
      <c r="K45" s="57"/>
      <c r="L45" s="57"/>
      <c r="M45" s="57"/>
      <c r="N45" s="57"/>
      <c r="O45" s="57"/>
      <c r="P45" s="57"/>
    </row>
    <row r="46" s="56" customFormat="1" ht="20" customHeight="1" spans="1:16">
      <c r="A46" s="15" t="s">
        <v>67</v>
      </c>
      <c r="B46" s="26" t="s">
        <v>68</v>
      </c>
      <c r="C46" s="27" t="s">
        <v>69</v>
      </c>
      <c r="D46" s="27"/>
      <c r="E46" s="18">
        <v>0.5</v>
      </c>
      <c r="F46" s="18">
        <f>G4</f>
        <v>3422851.87</v>
      </c>
      <c r="G46" s="19">
        <f>ROUND(E46*F46/100,2)</f>
        <v>17114.26</v>
      </c>
      <c r="H46" s="57"/>
      <c r="I46" s="57"/>
      <c r="J46" s="57"/>
      <c r="K46" s="57"/>
      <c r="L46" s="57"/>
      <c r="M46" s="57"/>
      <c r="N46" s="57"/>
      <c r="O46" s="57"/>
      <c r="P46" s="57"/>
    </row>
    <row r="47" s="56" customFormat="1" ht="20" customHeight="1" spans="1:16">
      <c r="A47" s="15" t="s">
        <v>70</v>
      </c>
      <c r="B47" s="26" t="s">
        <v>71</v>
      </c>
      <c r="C47" s="17" t="s">
        <v>72</v>
      </c>
      <c r="D47" s="17"/>
      <c r="E47" s="18">
        <v>1</v>
      </c>
      <c r="F47" s="18">
        <v>30000</v>
      </c>
      <c r="G47" s="19">
        <f>ROUND(E47*F47,2)</f>
        <v>30000</v>
      </c>
      <c r="H47" s="57"/>
      <c r="I47" s="57"/>
      <c r="J47" s="57"/>
      <c r="K47" s="57"/>
      <c r="L47" s="57"/>
      <c r="M47" s="57"/>
      <c r="N47" s="57"/>
      <c r="O47" s="57"/>
      <c r="P47" s="57"/>
    </row>
    <row r="48" s="56" customFormat="1" ht="20" customHeight="1" spans="1:16">
      <c r="A48" s="15" t="s">
        <v>73</v>
      </c>
      <c r="B48" s="69" t="s">
        <v>74</v>
      </c>
      <c r="C48" s="27" t="s">
        <v>69</v>
      </c>
      <c r="D48" s="27"/>
      <c r="E48" s="18">
        <v>9</v>
      </c>
      <c r="F48" s="18">
        <f>G4+G46+G47</f>
        <v>3469966.13</v>
      </c>
      <c r="G48" s="19">
        <f>ROUND(E48*F48/100,2)</f>
        <v>312296.95</v>
      </c>
      <c r="H48" s="57"/>
      <c r="I48" s="57"/>
      <c r="J48" s="57"/>
      <c r="K48" s="57"/>
      <c r="L48" s="57"/>
      <c r="M48" s="57"/>
      <c r="N48" s="57"/>
      <c r="O48" s="57"/>
      <c r="P48" s="57"/>
    </row>
    <row r="49" s="56" customFormat="1" ht="20" customHeight="1" spans="1:16">
      <c r="A49" s="20"/>
      <c r="B49" s="69" t="s">
        <v>75</v>
      </c>
      <c r="C49" s="17"/>
      <c r="D49" s="17"/>
      <c r="E49" s="18"/>
      <c r="F49" s="18"/>
      <c r="G49" s="19">
        <f>G4+G46+G47+G48</f>
        <v>3782263.08</v>
      </c>
      <c r="H49" s="57"/>
      <c r="I49" s="57"/>
      <c r="J49" s="57"/>
      <c r="K49" s="57"/>
      <c r="L49" s="57"/>
      <c r="M49" s="57"/>
      <c r="N49" s="57"/>
      <c r="O49" s="57"/>
      <c r="P49" s="57"/>
    </row>
    <row r="50" s="56" customFormat="1" ht="18" customHeight="1" spans="1:16">
      <c r="A50" s="20"/>
      <c r="B50" s="17"/>
      <c r="C50" s="17"/>
      <c r="D50" s="17"/>
      <c r="E50" s="18"/>
      <c r="F50" s="18"/>
      <c r="G50" s="40"/>
      <c r="H50" s="57"/>
      <c r="I50" s="57"/>
      <c r="J50" s="57"/>
      <c r="K50" s="57"/>
      <c r="L50" s="57"/>
      <c r="M50" s="57"/>
      <c r="N50" s="57"/>
      <c r="O50" s="57"/>
      <c r="P50" s="57"/>
    </row>
    <row r="51" s="56" customFormat="1" ht="18" customHeight="1" spans="1:16">
      <c r="A51" s="20"/>
      <c r="B51" s="17"/>
      <c r="C51" s="17"/>
      <c r="D51" s="17"/>
      <c r="E51" s="18"/>
      <c r="F51" s="18"/>
      <c r="G51" s="40"/>
      <c r="H51" s="57"/>
      <c r="I51" s="57"/>
      <c r="J51" s="57"/>
      <c r="K51" s="57"/>
      <c r="L51" s="57"/>
      <c r="M51" s="57"/>
      <c r="N51" s="57"/>
      <c r="O51" s="57"/>
      <c r="P51" s="57"/>
    </row>
    <row r="52" s="56" customFormat="1" ht="18" customHeight="1" spans="1:16">
      <c r="A52" s="20"/>
      <c r="B52" s="17"/>
      <c r="C52" s="17"/>
      <c r="D52" s="17"/>
      <c r="E52" s="18"/>
      <c r="F52" s="18"/>
      <c r="G52" s="40"/>
      <c r="H52" s="57"/>
      <c r="I52" s="57"/>
      <c r="J52" s="57"/>
      <c r="K52" s="57"/>
      <c r="L52" s="57"/>
      <c r="M52" s="57"/>
      <c r="N52" s="57"/>
      <c r="O52" s="57"/>
      <c r="P52" s="57"/>
    </row>
    <row r="53" s="56" customFormat="1" ht="18" customHeight="1" spans="1:16">
      <c r="A53" s="20"/>
      <c r="B53" s="17"/>
      <c r="C53" s="17"/>
      <c r="D53" s="17"/>
      <c r="E53" s="18"/>
      <c r="F53" s="18"/>
      <c r="G53" s="40"/>
      <c r="H53" s="57"/>
      <c r="I53" s="57"/>
      <c r="J53" s="57"/>
      <c r="K53" s="57"/>
      <c r="L53" s="57"/>
      <c r="M53" s="57"/>
      <c r="N53" s="57"/>
      <c r="O53" s="57"/>
      <c r="P53" s="57"/>
    </row>
    <row r="54" s="56" customFormat="1" ht="18" customHeight="1" spans="1:16">
      <c r="A54" s="20"/>
      <c r="B54" s="17"/>
      <c r="C54" s="17"/>
      <c r="D54" s="17"/>
      <c r="E54" s="18"/>
      <c r="F54" s="18"/>
      <c r="G54" s="40"/>
      <c r="H54" s="57"/>
      <c r="I54" s="57"/>
      <c r="J54" s="57"/>
      <c r="K54" s="57"/>
      <c r="L54" s="57"/>
      <c r="M54" s="57"/>
      <c r="N54" s="57"/>
      <c r="O54" s="57"/>
      <c r="P54" s="57"/>
    </row>
    <row r="55" s="56" customFormat="1" ht="18" customHeight="1" spans="1:16">
      <c r="A55" s="20"/>
      <c r="B55" s="17"/>
      <c r="C55" s="17"/>
      <c r="D55" s="17"/>
      <c r="E55" s="18"/>
      <c r="F55" s="18"/>
      <c r="G55" s="40"/>
      <c r="H55" s="57"/>
      <c r="I55" s="57"/>
      <c r="J55" s="57"/>
      <c r="K55" s="57"/>
      <c r="L55" s="57"/>
      <c r="M55" s="57"/>
      <c r="N55" s="57"/>
      <c r="O55" s="57"/>
      <c r="P55" s="57"/>
    </row>
    <row r="56" s="56" customFormat="1" ht="18" customHeight="1" spans="1:16">
      <c r="A56" s="20"/>
      <c r="B56" s="17"/>
      <c r="C56" s="17"/>
      <c r="D56" s="17"/>
      <c r="E56" s="18"/>
      <c r="F56" s="18"/>
      <c r="G56" s="40"/>
      <c r="H56" s="57"/>
      <c r="I56" s="57"/>
      <c r="J56" s="57"/>
      <c r="K56" s="57"/>
      <c r="L56" s="57"/>
      <c r="M56" s="57"/>
      <c r="N56" s="57"/>
      <c r="O56" s="57"/>
      <c r="P56" s="57"/>
    </row>
    <row r="57" s="56" customFormat="1" ht="18" customHeight="1" spans="1:16">
      <c r="A57" s="20"/>
      <c r="B57" s="17"/>
      <c r="C57" s="17"/>
      <c r="D57" s="17"/>
      <c r="E57" s="18"/>
      <c r="F57" s="18"/>
      <c r="G57" s="40"/>
      <c r="H57" s="57"/>
      <c r="I57" s="57"/>
      <c r="J57" s="57"/>
      <c r="K57" s="57"/>
      <c r="L57" s="57"/>
      <c r="M57" s="57"/>
      <c r="N57" s="57"/>
      <c r="O57" s="57"/>
      <c r="P57" s="57"/>
    </row>
    <row r="58" s="56" customFormat="1" ht="18" customHeight="1" spans="1:16">
      <c r="A58" s="20"/>
      <c r="B58" s="17"/>
      <c r="C58" s="17"/>
      <c r="D58" s="17"/>
      <c r="E58" s="18"/>
      <c r="F58" s="18"/>
      <c r="G58" s="40"/>
      <c r="H58" s="57"/>
      <c r="I58" s="57"/>
      <c r="J58" s="57"/>
      <c r="K58" s="57"/>
      <c r="L58" s="57"/>
      <c r="M58" s="57"/>
      <c r="N58" s="57"/>
      <c r="O58" s="57"/>
      <c r="P58" s="57"/>
    </row>
    <row r="59" s="56" customFormat="1" ht="18" customHeight="1" spans="1:16">
      <c r="A59" s="20"/>
      <c r="B59" s="17"/>
      <c r="C59" s="17"/>
      <c r="D59" s="17"/>
      <c r="E59" s="18"/>
      <c r="F59" s="18"/>
      <c r="G59" s="40"/>
      <c r="H59" s="57"/>
      <c r="I59" s="57"/>
      <c r="J59" s="57"/>
      <c r="K59" s="57"/>
      <c r="L59" s="57"/>
      <c r="M59" s="57"/>
      <c r="N59" s="57"/>
      <c r="O59" s="57"/>
      <c r="P59" s="57"/>
    </row>
    <row r="60" ht="18" customHeight="1" spans="1:7">
      <c r="A60" s="20"/>
      <c r="B60" s="17"/>
      <c r="C60" s="17"/>
      <c r="D60" s="17"/>
      <c r="E60" s="18"/>
      <c r="F60" s="18"/>
      <c r="G60" s="40"/>
    </row>
    <row r="61" ht="18" customHeight="1" spans="1:7">
      <c r="A61" s="20"/>
      <c r="B61" s="17"/>
      <c r="C61" s="17"/>
      <c r="D61" s="17"/>
      <c r="E61" s="18"/>
      <c r="F61" s="18"/>
      <c r="G61" s="40"/>
    </row>
    <row r="62" ht="18" customHeight="1" spans="1:7">
      <c r="A62" s="20"/>
      <c r="B62" s="17"/>
      <c r="C62" s="17"/>
      <c r="D62" s="17"/>
      <c r="E62" s="18"/>
      <c r="F62" s="18"/>
      <c r="G62" s="40"/>
    </row>
    <row r="63" ht="18" customHeight="1" spans="1:7">
      <c r="A63" s="20"/>
      <c r="B63" s="17"/>
      <c r="C63" s="17"/>
      <c r="D63" s="17"/>
      <c r="E63" s="18"/>
      <c r="F63" s="18"/>
      <c r="G63" s="40"/>
    </row>
    <row r="64" ht="18" customHeight="1" spans="1:7">
      <c r="A64" s="20"/>
      <c r="B64" s="17"/>
      <c r="C64" s="17"/>
      <c r="D64" s="17"/>
      <c r="E64" s="18"/>
      <c r="F64" s="18"/>
      <c r="G64" s="40"/>
    </row>
    <row r="65" ht="18" customHeight="1" spans="1:7">
      <c r="A65" s="20"/>
      <c r="B65" s="17"/>
      <c r="C65" s="17"/>
      <c r="D65" s="17"/>
      <c r="E65" s="18"/>
      <c r="F65" s="18"/>
      <c r="G65" s="40"/>
    </row>
    <row r="66" ht="18" customHeight="1" spans="1:7">
      <c r="A66" s="20"/>
      <c r="B66" s="17"/>
      <c r="C66" s="17"/>
      <c r="D66" s="17"/>
      <c r="E66" s="18"/>
      <c r="F66" s="18"/>
      <c r="G66" s="40"/>
    </row>
    <row r="67" ht="18" customHeight="1" spans="1:7">
      <c r="A67" s="20"/>
      <c r="B67" s="17"/>
      <c r="C67" s="17"/>
      <c r="D67" s="17"/>
      <c r="E67" s="18"/>
      <c r="F67" s="18"/>
      <c r="G67" s="40"/>
    </row>
    <row r="68" ht="18" customHeight="1" spans="1:7">
      <c r="A68" s="20"/>
      <c r="B68" s="17"/>
      <c r="C68" s="17"/>
      <c r="D68" s="17"/>
      <c r="E68" s="18"/>
      <c r="F68" s="18"/>
      <c r="G68" s="40"/>
    </row>
    <row r="69" ht="18" customHeight="1" spans="1:7">
      <c r="A69" s="20"/>
      <c r="B69" s="17"/>
      <c r="C69" s="17"/>
      <c r="D69" s="17"/>
      <c r="E69" s="18"/>
      <c r="F69" s="18"/>
      <c r="G69" s="40"/>
    </row>
    <row r="70" ht="18" customHeight="1" spans="1:7">
      <c r="A70" s="74" t="s">
        <v>76</v>
      </c>
      <c r="B70" s="75"/>
      <c r="C70" s="75"/>
      <c r="D70" s="75"/>
      <c r="E70" s="75"/>
      <c r="F70" s="75"/>
      <c r="G70" s="76"/>
    </row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</sheetData>
  <mergeCells count="7">
    <mergeCell ref="A1:G1"/>
    <mergeCell ref="F2:G2"/>
    <mergeCell ref="A19:G19"/>
    <mergeCell ref="A20:G20"/>
    <mergeCell ref="A37:G37"/>
    <mergeCell ref="A38:G38"/>
    <mergeCell ref="A70:G70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F18" sqref="F18"/>
    </sheetView>
  </sheetViews>
  <sheetFormatPr defaultColWidth="9" defaultRowHeight="14"/>
  <cols>
    <col min="1" max="1" width="5.62727272727273" style="1" customWidth="1"/>
    <col min="2" max="2" width="22.6272727272727" style="1" customWidth="1"/>
    <col min="3" max="3" width="5.62727272727273" style="1" customWidth="1"/>
    <col min="4" max="4" width="20.6272727272727" style="1" customWidth="1"/>
    <col min="5" max="5" width="10.6272727272727" style="2" customWidth="1"/>
    <col min="6" max="6" width="10.8727272727273" style="2" customWidth="1"/>
    <col min="7" max="7" width="14.6272727272727" style="2" customWidth="1"/>
    <col min="8" max="16" width="9" style="1"/>
  </cols>
  <sheetData>
    <row r="1" customFormat="1" ht="40" customHeight="1" spans="1:16">
      <c r="A1" s="4" t="s">
        <v>135</v>
      </c>
      <c r="B1" s="4"/>
      <c r="C1" s="4"/>
      <c r="D1" s="4"/>
      <c r="E1" s="5"/>
      <c r="F1" s="5"/>
      <c r="G1" s="5"/>
      <c r="H1" s="1"/>
      <c r="I1" s="1"/>
      <c r="J1" s="1"/>
      <c r="K1" s="1"/>
      <c r="L1" s="1"/>
      <c r="M1" s="1"/>
      <c r="N1" s="1"/>
      <c r="O1" s="1"/>
      <c r="P1" s="1"/>
    </row>
    <row r="2" customFormat="1" ht="20" customHeight="1" spans="1:16">
      <c r="A2" s="4"/>
      <c r="B2" s="4"/>
      <c r="C2" s="4"/>
      <c r="D2" s="4"/>
      <c r="E2" s="5"/>
      <c r="F2" s="6" t="s">
        <v>1</v>
      </c>
      <c r="G2" s="6"/>
      <c r="H2" s="1"/>
      <c r="I2" s="1"/>
      <c r="J2" s="1"/>
      <c r="K2" s="1"/>
      <c r="L2" s="1"/>
      <c r="M2" s="1"/>
      <c r="N2" s="1"/>
      <c r="O2" s="1"/>
      <c r="P2" s="1"/>
    </row>
    <row r="3" customFormat="1" ht="20" customHeight="1" spans="1:16">
      <c r="A3" s="7" t="s">
        <v>2</v>
      </c>
      <c r="B3" s="8" t="s">
        <v>3</v>
      </c>
      <c r="C3" s="8" t="s">
        <v>4</v>
      </c>
      <c r="D3" s="37" t="s">
        <v>5</v>
      </c>
      <c r="E3" s="9" t="s">
        <v>6</v>
      </c>
      <c r="F3" s="9" t="s">
        <v>7</v>
      </c>
      <c r="G3" s="10" t="s">
        <v>8</v>
      </c>
      <c r="H3" s="1"/>
      <c r="I3" s="1"/>
      <c r="J3" s="1"/>
      <c r="K3" s="1"/>
      <c r="L3" s="1"/>
      <c r="M3" s="1"/>
      <c r="N3" s="1"/>
      <c r="O3" s="1"/>
      <c r="P3" s="1"/>
    </row>
    <row r="4" customFormat="1" ht="20" customHeight="1" spans="1:16">
      <c r="A4" s="11" t="s">
        <v>9</v>
      </c>
      <c r="B4" s="12" t="s">
        <v>136</v>
      </c>
      <c r="C4" s="12"/>
      <c r="D4" s="12"/>
      <c r="E4" s="13"/>
      <c r="F4" s="13"/>
      <c r="G4" s="14">
        <f>G5</f>
        <v>1697692.59</v>
      </c>
      <c r="H4" s="1"/>
      <c r="I4" s="1"/>
      <c r="J4" s="1"/>
      <c r="K4" s="1"/>
      <c r="L4" s="1"/>
      <c r="M4" s="1"/>
      <c r="N4" s="1"/>
      <c r="O4" s="1"/>
      <c r="P4" s="1"/>
    </row>
    <row r="5" customFormat="1" ht="20" customHeight="1" spans="1:16">
      <c r="A5" s="28" t="s">
        <v>11</v>
      </c>
      <c r="B5" s="16" t="s">
        <v>12</v>
      </c>
      <c r="C5" s="29"/>
      <c r="D5" s="29"/>
      <c r="E5" s="38"/>
      <c r="F5" s="23"/>
      <c r="G5" s="31">
        <f>SUM(G6:G6)</f>
        <v>1697692.59</v>
      </c>
      <c r="H5" s="1"/>
      <c r="I5" s="1"/>
      <c r="J5" s="1"/>
      <c r="K5" s="1"/>
      <c r="L5" s="1"/>
      <c r="M5" s="1"/>
      <c r="N5" s="1"/>
      <c r="O5" s="1"/>
      <c r="P5" s="1"/>
    </row>
    <row r="6" customFormat="1" ht="84" spans="1:16">
      <c r="A6" s="39">
        <v>1</v>
      </c>
      <c r="B6" s="25" t="s">
        <v>137</v>
      </c>
      <c r="C6" s="22" t="s">
        <v>17</v>
      </c>
      <c r="D6" s="21" t="s">
        <v>138</v>
      </c>
      <c r="E6" s="23">
        <v>14751</v>
      </c>
      <c r="F6" s="18">
        <v>115.09</v>
      </c>
      <c r="G6" s="40">
        <f>ROUND(E6*F6,2)</f>
        <v>1697692.59</v>
      </c>
      <c r="H6" s="1"/>
      <c r="I6" s="1"/>
      <c r="J6" s="1"/>
      <c r="K6" s="1"/>
      <c r="L6" s="1"/>
      <c r="M6" s="1"/>
      <c r="N6" s="1"/>
      <c r="O6" s="1"/>
      <c r="P6" s="1"/>
    </row>
    <row r="7" customFormat="1" ht="20" customHeight="1" spans="1:16">
      <c r="A7" s="15" t="s">
        <v>67</v>
      </c>
      <c r="B7" s="26" t="s">
        <v>68</v>
      </c>
      <c r="C7" s="27" t="s">
        <v>69</v>
      </c>
      <c r="D7" s="27"/>
      <c r="E7" s="18">
        <v>0.5</v>
      </c>
      <c r="F7" s="18">
        <f>G4</f>
        <v>1697692.59</v>
      </c>
      <c r="G7" s="19">
        <f>ROUND(E7*F7/100,2)</f>
        <v>8488.46</v>
      </c>
      <c r="H7" s="1"/>
      <c r="I7" s="1"/>
      <c r="J7" s="1"/>
      <c r="K7" s="1"/>
      <c r="L7" s="1"/>
      <c r="M7" s="1"/>
      <c r="N7" s="1"/>
      <c r="O7" s="1"/>
      <c r="P7" s="1"/>
    </row>
    <row r="8" customFormat="1" ht="20" customHeight="1" spans="1:16">
      <c r="A8" s="28" t="s">
        <v>70</v>
      </c>
      <c r="B8" s="29" t="s">
        <v>74</v>
      </c>
      <c r="C8" s="30" t="s">
        <v>69</v>
      </c>
      <c r="D8" s="30"/>
      <c r="E8" s="23">
        <v>9</v>
      </c>
      <c r="F8" s="23">
        <f>G4+G7</f>
        <v>1706181.05</v>
      </c>
      <c r="G8" s="31">
        <f>ROUND(E8*F8/100,2)</f>
        <v>153556.29</v>
      </c>
      <c r="H8" s="1"/>
      <c r="I8" s="1"/>
      <c r="J8" s="1"/>
      <c r="K8" s="1"/>
      <c r="L8" s="1"/>
      <c r="M8" s="1"/>
      <c r="N8" s="1"/>
      <c r="O8" s="1"/>
      <c r="P8" s="1"/>
    </row>
    <row r="9" customFormat="1" ht="20" customHeight="1" spans="1:16">
      <c r="A9" s="32"/>
      <c r="B9" s="33" t="s">
        <v>75</v>
      </c>
      <c r="C9" s="34"/>
      <c r="D9" s="34"/>
      <c r="E9" s="35"/>
      <c r="F9" s="35"/>
      <c r="G9" s="36">
        <f>G4+G8</f>
        <v>1851248.88</v>
      </c>
      <c r="H9" s="1"/>
      <c r="I9" s="1"/>
      <c r="J9" s="1"/>
      <c r="K9" s="1"/>
      <c r="L9" s="1"/>
      <c r="M9" s="1"/>
      <c r="N9" s="1"/>
      <c r="O9" s="1"/>
      <c r="P9" s="1"/>
    </row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</sheetData>
  <mergeCells count="2">
    <mergeCell ref="A1:G1"/>
    <mergeCell ref="F2:G2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workbookViewId="0">
      <selection activeCell="D10" sqref="D10"/>
    </sheetView>
  </sheetViews>
  <sheetFormatPr defaultColWidth="9" defaultRowHeight="14"/>
  <cols>
    <col min="1" max="1" width="5.62727272727273" style="1" customWidth="1"/>
    <col min="2" max="2" width="22.6272727272727" style="1" customWidth="1"/>
    <col min="3" max="3" width="5.62727272727273" style="1" customWidth="1"/>
    <col min="4" max="4" width="20.6272727272727" style="1" customWidth="1"/>
    <col min="5" max="5" width="10.6272727272727" style="2" customWidth="1"/>
    <col min="6" max="6" width="10.8727272727273" style="2" customWidth="1"/>
    <col min="7" max="7" width="14.6272727272727" style="2" customWidth="1"/>
    <col min="8" max="16" width="9" style="1"/>
  </cols>
  <sheetData>
    <row r="1" customFormat="1" ht="40" customHeight="1" spans="1:16">
      <c r="A1" s="4" t="s">
        <v>139</v>
      </c>
      <c r="B1" s="4"/>
      <c r="C1" s="4"/>
      <c r="D1" s="4"/>
      <c r="E1" s="5"/>
      <c r="F1" s="5"/>
      <c r="G1" s="5"/>
      <c r="H1" s="1"/>
      <c r="I1" s="1"/>
      <c r="J1" s="1"/>
      <c r="K1" s="1"/>
      <c r="L1" s="1"/>
      <c r="M1" s="1"/>
      <c r="N1" s="1"/>
      <c r="O1" s="1"/>
      <c r="P1" s="1"/>
    </row>
    <row r="2" customFormat="1" ht="20" customHeight="1" spans="1:16">
      <c r="A2" s="4"/>
      <c r="B2" s="4"/>
      <c r="C2" s="4"/>
      <c r="D2" s="4"/>
      <c r="E2" s="5"/>
      <c r="F2" s="5"/>
      <c r="G2" s="6" t="s">
        <v>1</v>
      </c>
      <c r="H2" s="1"/>
      <c r="I2" s="1"/>
      <c r="J2" s="1"/>
      <c r="K2" s="1"/>
      <c r="L2" s="1"/>
      <c r="M2" s="1"/>
      <c r="N2" s="1"/>
      <c r="O2" s="1"/>
      <c r="P2" s="1"/>
    </row>
    <row r="3" customFormat="1" ht="30" customHeight="1" spans="1:16">
      <c r="A3" s="7" t="s">
        <v>2</v>
      </c>
      <c r="B3" s="8" t="s">
        <v>3</v>
      </c>
      <c r="C3" s="8" t="s">
        <v>4</v>
      </c>
      <c r="D3" s="37" t="s">
        <v>5</v>
      </c>
      <c r="E3" s="9" t="s">
        <v>6</v>
      </c>
      <c r="F3" s="9" t="s">
        <v>7</v>
      </c>
      <c r="G3" s="10" t="s">
        <v>8</v>
      </c>
      <c r="H3" s="1"/>
      <c r="I3" s="1"/>
      <c r="J3" s="1"/>
      <c r="K3" s="1"/>
      <c r="L3" s="1"/>
      <c r="M3" s="1"/>
      <c r="N3" s="1"/>
      <c r="O3" s="1"/>
      <c r="P3" s="1"/>
    </row>
    <row r="4" customFormat="1" ht="30" customHeight="1" spans="1:16">
      <c r="A4" s="11" t="s">
        <v>9</v>
      </c>
      <c r="B4" s="12" t="s">
        <v>136</v>
      </c>
      <c r="C4" s="12"/>
      <c r="D4" s="12"/>
      <c r="E4" s="13"/>
      <c r="F4" s="13"/>
      <c r="G4" s="14">
        <f>G5</f>
        <v>2286800.88</v>
      </c>
      <c r="H4" s="1"/>
      <c r="I4" s="1"/>
      <c r="J4" s="1"/>
      <c r="K4" s="1"/>
      <c r="L4" s="1"/>
      <c r="M4" s="1"/>
      <c r="N4" s="1"/>
      <c r="O4" s="1"/>
      <c r="P4" s="1"/>
    </row>
    <row r="5" customFormat="1" ht="30" customHeight="1" spans="1:16">
      <c r="A5" s="28" t="s">
        <v>11</v>
      </c>
      <c r="B5" s="16" t="s">
        <v>140</v>
      </c>
      <c r="C5" s="29"/>
      <c r="D5" s="29"/>
      <c r="E5" s="38"/>
      <c r="F5" s="23"/>
      <c r="G5" s="31">
        <f>SUM(G6:G10)</f>
        <v>2286800.88</v>
      </c>
      <c r="H5" s="1"/>
      <c r="I5" s="1"/>
      <c r="J5" s="1"/>
      <c r="K5" s="1"/>
      <c r="L5" s="1"/>
      <c r="M5" s="1"/>
      <c r="N5" s="1"/>
      <c r="O5" s="1"/>
      <c r="P5" s="1"/>
    </row>
    <row r="6" customFormat="1" ht="30" customHeight="1" spans="1:16">
      <c r="A6" s="39">
        <v>1</v>
      </c>
      <c r="B6" s="25" t="s">
        <v>141</v>
      </c>
      <c r="C6" s="22" t="s">
        <v>40</v>
      </c>
      <c r="D6" s="21" t="s">
        <v>142</v>
      </c>
      <c r="E6" s="23">
        <v>7516</v>
      </c>
      <c r="F6" s="18">
        <v>134.68</v>
      </c>
      <c r="G6" s="40">
        <f t="shared" ref="G6:G10" si="0">ROUND(E6*F6,2)</f>
        <v>1012254.88</v>
      </c>
      <c r="H6" s="1"/>
      <c r="I6" s="1"/>
      <c r="J6" s="1"/>
      <c r="K6" s="1"/>
      <c r="L6" s="1"/>
      <c r="M6" s="1"/>
      <c r="N6" s="1"/>
      <c r="O6" s="1"/>
      <c r="P6" s="1"/>
    </row>
    <row r="7" customFormat="1" ht="30" customHeight="1" spans="1:16">
      <c r="A7" s="39">
        <v>2</v>
      </c>
      <c r="B7" s="25" t="s">
        <v>143</v>
      </c>
      <c r="C7" s="22" t="s">
        <v>40</v>
      </c>
      <c r="D7" s="21" t="s">
        <v>142</v>
      </c>
      <c r="E7" s="23">
        <v>4340</v>
      </c>
      <c r="F7" s="18">
        <v>163.8</v>
      </c>
      <c r="G7" s="40">
        <f t="shared" si="0"/>
        <v>710892</v>
      </c>
      <c r="H7" s="1"/>
      <c r="I7" s="1"/>
      <c r="J7" s="1"/>
      <c r="K7" s="1"/>
      <c r="L7" s="1"/>
      <c r="M7" s="1"/>
      <c r="N7" s="1"/>
      <c r="O7" s="1"/>
      <c r="P7" s="1"/>
    </row>
    <row r="8" customFormat="1" ht="60" spans="1:16">
      <c r="A8" s="39">
        <v>3</v>
      </c>
      <c r="B8" s="25" t="s">
        <v>144</v>
      </c>
      <c r="C8" s="22" t="s">
        <v>20</v>
      </c>
      <c r="D8" s="21" t="s">
        <v>37</v>
      </c>
      <c r="E8" s="23">
        <v>1333.8</v>
      </c>
      <c r="F8" s="18">
        <v>417.47</v>
      </c>
      <c r="G8" s="40">
        <f t="shared" si="0"/>
        <v>556821.49</v>
      </c>
      <c r="H8" s="1"/>
      <c r="I8" s="1"/>
      <c r="J8" s="1"/>
      <c r="K8" s="1"/>
      <c r="L8" s="1"/>
      <c r="M8" s="1"/>
      <c r="N8" s="1"/>
      <c r="O8" s="1"/>
      <c r="P8" s="1"/>
    </row>
    <row r="9" customFormat="1" ht="30" customHeight="1" spans="1:16">
      <c r="A9" s="39">
        <v>4</v>
      </c>
      <c r="B9" s="25" t="s">
        <v>145</v>
      </c>
      <c r="C9" s="22" t="s">
        <v>146</v>
      </c>
      <c r="D9" s="21" t="s">
        <v>142</v>
      </c>
      <c r="E9" s="23">
        <v>779</v>
      </c>
      <c r="F9" s="23">
        <v>3.93</v>
      </c>
      <c r="G9" s="24">
        <f t="shared" si="0"/>
        <v>3061.47</v>
      </c>
      <c r="H9" s="1"/>
      <c r="I9" s="1"/>
      <c r="J9" s="1"/>
      <c r="K9" s="1"/>
      <c r="L9" s="1"/>
      <c r="M9" s="1"/>
      <c r="N9" s="1"/>
      <c r="O9" s="1"/>
      <c r="P9" s="1"/>
    </row>
    <row r="10" customFormat="1" ht="30" customHeight="1" spans="1:16">
      <c r="A10" s="39">
        <v>5</v>
      </c>
      <c r="B10" s="25" t="s">
        <v>147</v>
      </c>
      <c r="C10" s="17" t="s">
        <v>40</v>
      </c>
      <c r="D10" s="21" t="s">
        <v>142</v>
      </c>
      <c r="E10" s="23">
        <v>28</v>
      </c>
      <c r="F10" s="23">
        <v>134.68</v>
      </c>
      <c r="G10" s="24">
        <f t="shared" si="0"/>
        <v>3771.04</v>
      </c>
      <c r="H10" s="1"/>
      <c r="I10" s="1"/>
      <c r="J10" s="1"/>
      <c r="K10" s="1"/>
      <c r="L10" s="1"/>
      <c r="M10" s="1"/>
      <c r="N10" s="1"/>
      <c r="O10" s="1"/>
      <c r="P10" s="1"/>
    </row>
    <row r="11" customFormat="1" ht="30" customHeight="1" spans="1:16">
      <c r="A11" s="15" t="s">
        <v>67</v>
      </c>
      <c r="B11" s="26" t="s">
        <v>68</v>
      </c>
      <c r="C11" s="27" t="s">
        <v>69</v>
      </c>
      <c r="D11" s="27"/>
      <c r="E11" s="18">
        <v>0.5</v>
      </c>
      <c r="F11" s="23">
        <f>G4</f>
        <v>2286800.88</v>
      </c>
      <c r="G11" s="19">
        <f>ROUND(E11*F11/100,2)</f>
        <v>11434</v>
      </c>
      <c r="H11" s="1"/>
      <c r="I11" s="1"/>
      <c r="J11" s="1"/>
      <c r="K11" s="1"/>
      <c r="L11" s="1"/>
      <c r="M11" s="1"/>
      <c r="N11" s="1"/>
      <c r="O11" s="1"/>
      <c r="P11" s="1"/>
    </row>
    <row r="12" customFormat="1" ht="30" customHeight="1" spans="1:16">
      <c r="A12" s="28" t="s">
        <v>67</v>
      </c>
      <c r="B12" s="29" t="s">
        <v>74</v>
      </c>
      <c r="C12" s="30" t="s">
        <v>69</v>
      </c>
      <c r="D12" s="30"/>
      <c r="E12" s="23">
        <v>9</v>
      </c>
      <c r="F12" s="23">
        <f>G4+G11</f>
        <v>2298234.88</v>
      </c>
      <c r="G12" s="31">
        <f>ROUND(E12*F12/100,2)</f>
        <v>206841.14</v>
      </c>
      <c r="H12" s="1"/>
      <c r="I12" s="1"/>
      <c r="J12" s="1"/>
      <c r="K12" s="1"/>
      <c r="L12" s="1"/>
      <c r="M12" s="1"/>
      <c r="N12" s="1"/>
      <c r="O12" s="1"/>
      <c r="P12" s="1"/>
    </row>
    <row r="13" customFormat="1" ht="30" customHeight="1" spans="1:16">
      <c r="A13" s="32"/>
      <c r="B13" s="33" t="s">
        <v>75</v>
      </c>
      <c r="C13" s="34"/>
      <c r="D13" s="34"/>
      <c r="E13" s="35"/>
      <c r="F13" s="35"/>
      <c r="G13" s="36">
        <f>G4+G11+G12</f>
        <v>2505076.02</v>
      </c>
      <c r="H13" s="1"/>
      <c r="I13" s="1"/>
      <c r="J13" s="1"/>
      <c r="K13" s="1"/>
      <c r="L13" s="1"/>
      <c r="M13" s="1"/>
      <c r="N13" s="1"/>
      <c r="O13" s="1"/>
      <c r="P13" s="1"/>
    </row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</sheetData>
  <mergeCells count="1">
    <mergeCell ref="A1:G1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workbookViewId="0">
      <selection activeCell="D14" sqref="D14"/>
    </sheetView>
  </sheetViews>
  <sheetFormatPr defaultColWidth="9" defaultRowHeight="14"/>
  <cols>
    <col min="1" max="1" width="5.62727272727273" style="1" customWidth="1"/>
    <col min="2" max="2" width="22.6272727272727" style="1" customWidth="1"/>
    <col min="3" max="3" width="5.62727272727273" style="1" customWidth="1"/>
    <col min="4" max="4" width="20.6272727272727" style="1" customWidth="1"/>
    <col min="5" max="5" width="10.6272727272727" style="2" customWidth="1"/>
    <col min="6" max="6" width="10.8727272727273" style="2" customWidth="1"/>
    <col min="7" max="7" width="14.6272727272727" style="2" customWidth="1"/>
    <col min="8" max="9" width="9" style="1"/>
    <col min="10" max="10" width="10.3727272727273" style="3"/>
    <col min="11" max="16" width="9" style="1"/>
  </cols>
  <sheetData>
    <row r="1" customFormat="1" ht="40" customHeight="1" spans="1:16">
      <c r="A1" s="4" t="s">
        <v>148</v>
      </c>
      <c r="B1" s="4"/>
      <c r="C1" s="4"/>
      <c r="D1" s="4"/>
      <c r="E1" s="5"/>
      <c r="F1" s="5"/>
      <c r="G1" s="5"/>
      <c r="H1" s="1"/>
      <c r="I1" s="1"/>
      <c r="J1" s="3"/>
      <c r="K1" s="1"/>
      <c r="L1" s="1"/>
      <c r="M1" s="1"/>
      <c r="N1" s="1"/>
      <c r="O1" s="1"/>
      <c r="P1" s="1"/>
    </row>
    <row r="2" customFormat="1" ht="20" customHeight="1" spans="1:16">
      <c r="A2" s="4"/>
      <c r="B2" s="4"/>
      <c r="C2" s="4"/>
      <c r="D2" s="4"/>
      <c r="E2" s="5"/>
      <c r="F2" s="6" t="s">
        <v>1</v>
      </c>
      <c r="G2" s="6"/>
      <c r="H2" s="1"/>
      <c r="I2" s="1"/>
      <c r="J2" s="3"/>
      <c r="K2" s="1"/>
      <c r="L2" s="1"/>
      <c r="M2" s="1"/>
      <c r="N2" s="1"/>
      <c r="O2" s="1"/>
      <c r="P2" s="1"/>
    </row>
    <row r="3" customFormat="1" ht="30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"/>
      <c r="I3" s="1"/>
      <c r="J3" s="3"/>
      <c r="K3" s="1"/>
      <c r="L3" s="1"/>
      <c r="M3" s="1"/>
      <c r="N3" s="1"/>
      <c r="O3" s="1"/>
      <c r="P3" s="1"/>
    </row>
    <row r="4" customFormat="1" ht="30" customHeight="1" spans="1:16">
      <c r="A4" s="11" t="s">
        <v>9</v>
      </c>
      <c r="B4" s="12" t="s">
        <v>136</v>
      </c>
      <c r="C4" s="12"/>
      <c r="D4" s="12"/>
      <c r="E4" s="13"/>
      <c r="F4" s="13"/>
      <c r="G4" s="14">
        <f>G5+G9+G11</f>
        <v>7418461.68</v>
      </c>
      <c r="H4" s="1"/>
      <c r="I4" s="1"/>
      <c r="J4" s="3"/>
      <c r="K4" s="1"/>
      <c r="L4" s="1"/>
      <c r="M4" s="1"/>
      <c r="N4" s="1"/>
      <c r="O4" s="1"/>
      <c r="P4" s="1"/>
    </row>
    <row r="5" customFormat="1" ht="30" customHeight="1" spans="1:16">
      <c r="A5" s="15" t="s">
        <v>11</v>
      </c>
      <c r="B5" s="16" t="s">
        <v>51</v>
      </c>
      <c r="C5" s="17"/>
      <c r="D5" s="17"/>
      <c r="E5" s="18"/>
      <c r="F5" s="18"/>
      <c r="G5" s="19">
        <f>SUM(G6:G8)</f>
        <v>7359897.72</v>
      </c>
      <c r="H5" s="1"/>
      <c r="I5" s="1"/>
      <c r="J5" s="3"/>
      <c r="K5" s="1"/>
      <c r="L5" s="1"/>
      <c r="M5" s="1"/>
      <c r="N5" s="1"/>
      <c r="O5" s="1"/>
      <c r="P5" s="1"/>
    </row>
    <row r="6" customFormat="1" ht="30" customHeight="1" spans="1:16">
      <c r="A6" s="20">
        <v>1</v>
      </c>
      <c r="B6" s="21" t="s">
        <v>149</v>
      </c>
      <c r="C6" s="22" t="s">
        <v>17</v>
      </c>
      <c r="D6" s="21" t="s">
        <v>142</v>
      </c>
      <c r="E6" s="18">
        <v>108192</v>
      </c>
      <c r="F6" s="23">
        <v>34.68</v>
      </c>
      <c r="G6" s="24">
        <f>ROUND(E6*F6,2)</f>
        <v>3752098.56</v>
      </c>
      <c r="H6" s="1"/>
      <c r="I6" s="1"/>
      <c r="J6" s="3"/>
      <c r="K6" s="1"/>
      <c r="L6" s="1"/>
      <c r="M6" s="1"/>
      <c r="N6" s="1"/>
      <c r="O6" s="1"/>
      <c r="P6" s="1"/>
    </row>
    <row r="7" customFormat="1" ht="30" customHeight="1" spans="1:16">
      <c r="A7" s="20">
        <v>2</v>
      </c>
      <c r="B7" s="21" t="s">
        <v>150</v>
      </c>
      <c r="C7" s="22" t="s">
        <v>17</v>
      </c>
      <c r="D7" s="21" t="s">
        <v>142</v>
      </c>
      <c r="E7" s="18">
        <v>876</v>
      </c>
      <c r="F7" s="23">
        <v>28.63</v>
      </c>
      <c r="G7" s="24">
        <f>ROUND(E7*F7,2)</f>
        <v>25079.88</v>
      </c>
      <c r="H7" s="1"/>
      <c r="I7" s="1"/>
      <c r="J7" s="3"/>
      <c r="K7" s="1"/>
      <c r="L7" s="1"/>
      <c r="M7" s="1"/>
      <c r="N7" s="1"/>
      <c r="O7" s="1"/>
      <c r="P7" s="1"/>
    </row>
    <row r="8" customFormat="1" ht="30" customHeight="1" spans="1:16">
      <c r="A8" s="20">
        <v>3</v>
      </c>
      <c r="B8" s="21" t="s">
        <v>151</v>
      </c>
      <c r="C8" s="22" t="s">
        <v>17</v>
      </c>
      <c r="D8" s="21" t="s">
        <v>142</v>
      </c>
      <c r="E8" s="18">
        <v>98616</v>
      </c>
      <c r="F8" s="23">
        <v>36.33</v>
      </c>
      <c r="G8" s="24">
        <f>ROUND(E8*F8,2)</f>
        <v>3582719.28</v>
      </c>
      <c r="H8" s="1"/>
      <c r="I8" s="1"/>
      <c r="J8" s="3"/>
      <c r="K8" s="1"/>
      <c r="L8" s="1"/>
      <c r="M8" s="1"/>
      <c r="N8" s="1"/>
      <c r="O8" s="1"/>
      <c r="P8" s="1"/>
    </row>
    <row r="9" customFormat="1" ht="30" customHeight="1" spans="1:16">
      <c r="A9" s="15" t="s">
        <v>50</v>
      </c>
      <c r="B9" s="16" t="s">
        <v>60</v>
      </c>
      <c r="C9" s="22"/>
      <c r="D9" s="22"/>
      <c r="E9" s="23"/>
      <c r="F9" s="23"/>
      <c r="G9" s="19">
        <f>SUM(G10:G10)</f>
        <v>9809.1</v>
      </c>
      <c r="H9" s="1"/>
      <c r="I9" s="1"/>
      <c r="J9" s="3"/>
      <c r="K9" s="1"/>
      <c r="L9" s="1"/>
      <c r="M9" s="1"/>
      <c r="N9" s="1"/>
      <c r="O9" s="1"/>
      <c r="P9" s="1"/>
    </row>
    <row r="10" customFormat="1" ht="30" customHeight="1" spans="1:16">
      <c r="A10" s="20">
        <v>1</v>
      </c>
      <c r="B10" s="25" t="s">
        <v>151</v>
      </c>
      <c r="C10" s="22" t="s">
        <v>17</v>
      </c>
      <c r="D10" s="21" t="s">
        <v>142</v>
      </c>
      <c r="E10" s="23">
        <v>270</v>
      </c>
      <c r="F10" s="23">
        <v>36.33</v>
      </c>
      <c r="G10" s="24">
        <f>ROUND(E10*F10,2)</f>
        <v>9809.1</v>
      </c>
      <c r="H10" s="1"/>
      <c r="I10" s="1"/>
      <c r="J10" s="3"/>
      <c r="K10" s="1"/>
      <c r="L10" s="1"/>
      <c r="M10" s="1"/>
      <c r="N10" s="1"/>
      <c r="O10" s="1"/>
      <c r="P10" s="1"/>
    </row>
    <row r="11" customFormat="1" ht="30" customHeight="1" spans="1:16">
      <c r="A11" s="15" t="s">
        <v>54</v>
      </c>
      <c r="B11" s="16" t="s">
        <v>89</v>
      </c>
      <c r="C11" s="22"/>
      <c r="D11" s="22"/>
      <c r="E11" s="23"/>
      <c r="F11" s="23"/>
      <c r="G11" s="19">
        <f>SUM(G12:G12)</f>
        <v>48754.86</v>
      </c>
      <c r="H11" s="1"/>
      <c r="I11" s="1"/>
      <c r="J11" s="3"/>
      <c r="K11" s="1"/>
      <c r="L11" s="1"/>
      <c r="M11" s="1"/>
      <c r="N11" s="1"/>
      <c r="O11" s="1"/>
      <c r="P11" s="1"/>
    </row>
    <row r="12" customFormat="1" ht="30" customHeight="1" spans="1:16">
      <c r="A12" s="20">
        <v>1</v>
      </c>
      <c r="B12" s="25" t="s">
        <v>151</v>
      </c>
      <c r="C12" s="22" t="s">
        <v>17</v>
      </c>
      <c r="D12" s="21" t="s">
        <v>142</v>
      </c>
      <c r="E12" s="23">
        <v>1342</v>
      </c>
      <c r="F12" s="23">
        <v>36.33</v>
      </c>
      <c r="G12" s="24">
        <f>ROUND(E12*F12,2)</f>
        <v>48754.86</v>
      </c>
      <c r="H12" s="1"/>
      <c r="I12" s="1"/>
      <c r="J12" s="3"/>
      <c r="K12" s="1"/>
      <c r="L12" s="1"/>
      <c r="M12" s="1"/>
      <c r="N12" s="1"/>
      <c r="O12" s="1"/>
      <c r="P12" s="1"/>
    </row>
    <row r="13" customFormat="1" ht="30" customHeight="1" spans="1:16">
      <c r="A13" s="15" t="s">
        <v>67</v>
      </c>
      <c r="B13" s="26" t="s">
        <v>68</v>
      </c>
      <c r="C13" s="27" t="s">
        <v>69</v>
      </c>
      <c r="D13" s="27"/>
      <c r="E13" s="18">
        <v>0.5</v>
      </c>
      <c r="F13" s="23">
        <f>G4</f>
        <v>7418461.68</v>
      </c>
      <c r="G13" s="19">
        <f>ROUND(E13*F13/100,2)</f>
        <v>37092.31</v>
      </c>
      <c r="H13" s="1"/>
      <c r="I13" s="1"/>
      <c r="J13" s="3"/>
      <c r="K13" s="1"/>
      <c r="L13" s="1"/>
      <c r="M13" s="1"/>
      <c r="N13" s="1"/>
      <c r="O13" s="1"/>
      <c r="P13" s="1"/>
    </row>
    <row r="14" customFormat="1" ht="30" customHeight="1" spans="1:16">
      <c r="A14" s="28" t="s">
        <v>67</v>
      </c>
      <c r="B14" s="29" t="s">
        <v>74</v>
      </c>
      <c r="C14" s="30" t="s">
        <v>69</v>
      </c>
      <c r="D14" s="30"/>
      <c r="E14" s="23">
        <v>9</v>
      </c>
      <c r="F14" s="23">
        <f>G4+G13</f>
        <v>7455553.99</v>
      </c>
      <c r="G14" s="31">
        <f>ROUND(E14*F14/100,2)</f>
        <v>670999.86</v>
      </c>
      <c r="H14" s="1"/>
      <c r="I14" s="1"/>
      <c r="J14" s="3"/>
      <c r="K14" s="1"/>
      <c r="L14" s="1"/>
      <c r="M14" s="1"/>
      <c r="N14" s="1"/>
      <c r="O14" s="1"/>
      <c r="P14" s="1"/>
    </row>
    <row r="15" customFormat="1" ht="30" customHeight="1" spans="1:16">
      <c r="A15" s="32"/>
      <c r="B15" s="33" t="s">
        <v>75</v>
      </c>
      <c r="C15" s="34"/>
      <c r="D15" s="34"/>
      <c r="E15" s="35"/>
      <c r="F15" s="35"/>
      <c r="G15" s="36">
        <f>G4+G13+G14</f>
        <v>8126553.85</v>
      </c>
      <c r="H15" s="1"/>
      <c r="I15" s="1"/>
      <c r="J15" s="3"/>
      <c r="K15" s="1"/>
      <c r="L15" s="1"/>
      <c r="M15" s="1"/>
      <c r="N15" s="1"/>
      <c r="O15" s="1"/>
      <c r="P15" s="1"/>
    </row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</sheetData>
  <mergeCells count="2">
    <mergeCell ref="A1:G1"/>
    <mergeCell ref="F2:G2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6"/>
  <sheetViews>
    <sheetView topLeftCell="A38" workbookViewId="0">
      <selection activeCell="A38" sqref="A38:G38"/>
    </sheetView>
  </sheetViews>
  <sheetFormatPr defaultColWidth="9" defaultRowHeight="14"/>
  <cols>
    <col min="1" max="1" width="5.62727272727273" style="57" customWidth="1"/>
    <col min="2" max="2" width="22.6272727272727" style="57" customWidth="1"/>
    <col min="3" max="3" width="5.62727272727273" style="57" customWidth="1"/>
    <col min="4" max="4" width="20.6272727272727" style="57" customWidth="1"/>
    <col min="5" max="5" width="10.6272727272727" style="58" customWidth="1"/>
    <col min="6" max="6" width="12.6272727272727" style="58" customWidth="1"/>
    <col min="7" max="7" width="13.6272727272727" style="58" customWidth="1"/>
    <col min="8" max="16" width="9" style="57"/>
    <col min="17" max="16384" width="9" style="56"/>
  </cols>
  <sheetData>
    <row r="1" s="56" customFormat="1" ht="49" customHeight="1" spans="1:16">
      <c r="A1" s="59" t="s">
        <v>77</v>
      </c>
      <c r="B1" s="59"/>
      <c r="C1" s="59"/>
      <c r="D1" s="59"/>
      <c r="E1" s="60"/>
      <c r="F1" s="60"/>
      <c r="G1" s="60"/>
      <c r="H1" s="57"/>
      <c r="I1" s="57"/>
      <c r="J1" s="57"/>
      <c r="K1" s="57"/>
      <c r="L1" s="57"/>
      <c r="M1" s="57"/>
      <c r="N1" s="57"/>
      <c r="O1" s="57"/>
      <c r="P1" s="57"/>
    </row>
    <row r="2" s="56" customFormat="1" ht="20" customHeight="1" spans="1:16">
      <c r="A2" s="59"/>
      <c r="B2" s="59"/>
      <c r="C2" s="59"/>
      <c r="D2" s="59"/>
      <c r="E2" s="60"/>
      <c r="F2" s="60"/>
      <c r="G2" s="6" t="s">
        <v>1</v>
      </c>
      <c r="H2" s="57"/>
      <c r="I2" s="57"/>
      <c r="J2" s="57"/>
      <c r="K2" s="57"/>
      <c r="L2" s="57"/>
      <c r="M2" s="57"/>
      <c r="N2" s="57"/>
      <c r="O2" s="57"/>
      <c r="P2" s="57"/>
    </row>
    <row r="3" s="56" customFormat="1" ht="20" customHeight="1" spans="1:16">
      <c r="A3" s="61" t="s">
        <v>2</v>
      </c>
      <c r="B3" s="62" t="s">
        <v>3</v>
      </c>
      <c r="C3" s="62" t="s">
        <v>4</v>
      </c>
      <c r="D3" s="62" t="s">
        <v>5</v>
      </c>
      <c r="E3" s="63" t="s">
        <v>6</v>
      </c>
      <c r="F3" s="63" t="s">
        <v>7</v>
      </c>
      <c r="G3" s="64" t="s">
        <v>8</v>
      </c>
      <c r="H3" s="57"/>
      <c r="I3" s="57"/>
      <c r="J3" s="57"/>
      <c r="K3" s="57"/>
      <c r="L3" s="57"/>
      <c r="M3" s="57"/>
      <c r="N3" s="57"/>
      <c r="O3" s="57"/>
      <c r="P3" s="57"/>
    </row>
    <row r="4" s="56" customFormat="1" ht="20" customHeight="1" spans="1:16">
      <c r="A4" s="15" t="s">
        <v>9</v>
      </c>
      <c r="B4" s="69" t="s">
        <v>10</v>
      </c>
      <c r="C4" s="69"/>
      <c r="D4" s="69"/>
      <c r="E4" s="70"/>
      <c r="F4" s="70"/>
      <c r="G4" s="19">
        <f>G5+G32+G34+G42+G48+G50</f>
        <v>3207812.06</v>
      </c>
      <c r="H4" s="57"/>
      <c r="I4" s="57"/>
      <c r="J4" s="57"/>
      <c r="K4" s="57"/>
      <c r="L4" s="57"/>
      <c r="M4" s="57"/>
      <c r="N4" s="57"/>
      <c r="O4" s="57"/>
      <c r="P4" s="57"/>
    </row>
    <row r="5" s="56" customFormat="1" ht="20" customHeight="1" spans="1:16">
      <c r="A5" s="15" t="s">
        <v>11</v>
      </c>
      <c r="B5" s="16" t="s">
        <v>12</v>
      </c>
      <c r="C5" s="69"/>
      <c r="D5" s="69"/>
      <c r="E5" s="70"/>
      <c r="F5" s="18"/>
      <c r="G5" s="19">
        <f>SUM(G6:G31)</f>
        <v>2875619.04</v>
      </c>
      <c r="H5" s="57"/>
      <c r="I5" s="57"/>
      <c r="J5" s="57"/>
      <c r="K5" s="57"/>
      <c r="L5" s="57"/>
      <c r="M5" s="57"/>
      <c r="N5" s="57"/>
      <c r="O5" s="57"/>
      <c r="P5" s="57"/>
    </row>
    <row r="6" s="56" customFormat="1" ht="36" spans="1:16">
      <c r="A6" s="20">
        <v>1</v>
      </c>
      <c r="B6" s="25" t="s">
        <v>13</v>
      </c>
      <c r="C6" s="22" t="s">
        <v>14</v>
      </c>
      <c r="D6" s="25" t="s">
        <v>15</v>
      </c>
      <c r="E6" s="23">
        <f>260+1291</f>
        <v>1551</v>
      </c>
      <c r="F6" s="23">
        <v>26.39</v>
      </c>
      <c r="G6" s="40">
        <f>ROUND(E6*F6,2)</f>
        <v>40930.89</v>
      </c>
      <c r="H6" s="57"/>
      <c r="I6" s="57"/>
      <c r="J6" s="57"/>
      <c r="K6" s="57"/>
      <c r="L6" s="57"/>
      <c r="M6" s="57"/>
      <c r="N6" s="57"/>
      <c r="O6" s="57"/>
      <c r="P6" s="57"/>
    </row>
    <row r="7" s="56" customFormat="1" ht="36" spans="1:16">
      <c r="A7" s="20">
        <v>2</v>
      </c>
      <c r="B7" s="25" t="s">
        <v>16</v>
      </c>
      <c r="C7" s="22" t="s">
        <v>17</v>
      </c>
      <c r="D7" s="25" t="s">
        <v>18</v>
      </c>
      <c r="E7" s="23">
        <v>5055</v>
      </c>
      <c r="F7" s="18">
        <v>1.24</v>
      </c>
      <c r="G7" s="40">
        <f>ROUND(E7*F7,2)</f>
        <v>6268.2</v>
      </c>
      <c r="H7" s="57"/>
      <c r="I7" s="57"/>
      <c r="J7" s="57"/>
      <c r="K7" s="57"/>
      <c r="L7" s="57"/>
      <c r="M7" s="57"/>
      <c r="N7" s="57"/>
      <c r="O7" s="57"/>
      <c r="P7" s="57"/>
    </row>
    <row r="8" s="56" customFormat="1" ht="48" spans="1:16">
      <c r="A8" s="20">
        <v>3</v>
      </c>
      <c r="B8" s="21" t="s">
        <v>19</v>
      </c>
      <c r="C8" s="17" t="s">
        <v>20</v>
      </c>
      <c r="D8" s="21" t="s">
        <v>21</v>
      </c>
      <c r="E8" s="18">
        <f>9564.32+9822.81</f>
        <v>19387.13</v>
      </c>
      <c r="F8" s="18">
        <v>3.94</v>
      </c>
      <c r="G8" s="40">
        <f>ROUND(E8*F8,2)</f>
        <v>76385.29</v>
      </c>
      <c r="H8" s="57"/>
      <c r="I8" s="57"/>
      <c r="J8" s="57"/>
      <c r="K8" s="57"/>
      <c r="L8" s="57"/>
      <c r="M8" s="57"/>
      <c r="N8" s="57"/>
      <c r="O8" s="57"/>
      <c r="P8" s="57"/>
    </row>
    <row r="9" s="56" customFormat="1" ht="60" spans="1:16">
      <c r="A9" s="20">
        <v>4</v>
      </c>
      <c r="B9" s="71" t="s">
        <v>22</v>
      </c>
      <c r="C9" s="72" t="s">
        <v>20</v>
      </c>
      <c r="D9" s="21" t="s">
        <v>23</v>
      </c>
      <c r="E9" s="73">
        <f>23910.79+24557.02</f>
        <v>48467.81</v>
      </c>
      <c r="F9" s="18">
        <v>10.61</v>
      </c>
      <c r="G9" s="40">
        <f>ROUND(E9*F9,2)</f>
        <v>514243.46</v>
      </c>
      <c r="H9" s="57"/>
      <c r="I9" s="57"/>
      <c r="J9" s="57"/>
      <c r="K9" s="57"/>
      <c r="L9" s="57"/>
      <c r="M9" s="57"/>
      <c r="N9" s="57"/>
      <c r="O9" s="57"/>
      <c r="P9" s="57"/>
    </row>
    <row r="10" s="56" customFormat="1" ht="60" spans="1:16">
      <c r="A10" s="20">
        <v>5</v>
      </c>
      <c r="B10" s="21" t="s">
        <v>24</v>
      </c>
      <c r="C10" s="17" t="s">
        <v>20</v>
      </c>
      <c r="D10" s="21" t="s">
        <v>23</v>
      </c>
      <c r="E10" s="18">
        <f>14346.47+14734.2</f>
        <v>29080.67</v>
      </c>
      <c r="F10" s="18">
        <v>15.59</v>
      </c>
      <c r="G10" s="40">
        <f t="shared" ref="G10:G19" si="0">ROUND(E10*F10,2)</f>
        <v>453367.65</v>
      </c>
      <c r="H10" s="57"/>
      <c r="I10" s="57"/>
      <c r="J10" s="57"/>
      <c r="K10" s="57"/>
      <c r="L10" s="57"/>
      <c r="M10" s="57"/>
      <c r="N10" s="57"/>
      <c r="O10" s="57"/>
      <c r="P10" s="57"/>
    </row>
    <row r="11" s="56" customFormat="1" ht="36" spans="1:16">
      <c r="A11" s="20">
        <v>6</v>
      </c>
      <c r="B11" s="21" t="s">
        <v>25</v>
      </c>
      <c r="C11" s="72" t="s">
        <v>20</v>
      </c>
      <c r="D11" s="71" t="s">
        <v>26</v>
      </c>
      <c r="E11" s="18">
        <f>E8+E9+E10-E13-E14-E15</f>
        <v>68900.32</v>
      </c>
      <c r="F11" s="18">
        <v>6.85</v>
      </c>
      <c r="G11" s="40">
        <f t="shared" si="0"/>
        <v>471967.19</v>
      </c>
      <c r="H11" s="57"/>
      <c r="I11" s="57"/>
      <c r="J11" s="57"/>
      <c r="K11" s="57"/>
      <c r="L11" s="57"/>
      <c r="M11" s="57"/>
      <c r="N11" s="57"/>
      <c r="O11" s="57"/>
      <c r="P11" s="57"/>
    </row>
    <row r="12" s="56" customFormat="1" ht="36" spans="1:16">
      <c r="A12" s="20">
        <v>7</v>
      </c>
      <c r="B12" s="21" t="s">
        <v>27</v>
      </c>
      <c r="C12" s="17" t="s">
        <v>20</v>
      </c>
      <c r="D12" s="71" t="s">
        <v>26</v>
      </c>
      <c r="E12" s="18">
        <f>E11</f>
        <v>68900.32</v>
      </c>
      <c r="F12" s="18">
        <v>1.26</v>
      </c>
      <c r="G12" s="40">
        <f t="shared" si="0"/>
        <v>86814.4</v>
      </c>
      <c r="H12" s="57"/>
      <c r="I12" s="57"/>
      <c r="J12" s="57"/>
      <c r="K12" s="57"/>
      <c r="L12" s="57"/>
      <c r="M12" s="57"/>
      <c r="N12" s="57"/>
      <c r="O12" s="57"/>
      <c r="P12" s="57"/>
    </row>
    <row r="13" s="56" customFormat="1" ht="48" spans="1:16">
      <c r="A13" s="20">
        <v>8</v>
      </c>
      <c r="B13" s="21" t="s">
        <v>28</v>
      </c>
      <c r="C13" s="17" t="s">
        <v>20</v>
      </c>
      <c r="D13" s="21" t="s">
        <v>29</v>
      </c>
      <c r="E13" s="23">
        <f>6350.27+1617.18</f>
        <v>7967.45</v>
      </c>
      <c r="F13" s="18">
        <v>2.94</v>
      </c>
      <c r="G13" s="40">
        <f t="shared" si="0"/>
        <v>23424.3</v>
      </c>
      <c r="H13" s="57"/>
      <c r="I13" s="57"/>
      <c r="J13" s="57"/>
      <c r="K13" s="57"/>
      <c r="L13" s="57"/>
      <c r="M13" s="57"/>
      <c r="N13" s="57"/>
      <c r="O13" s="57"/>
      <c r="P13" s="57"/>
    </row>
    <row r="14" s="56" customFormat="1" ht="48" spans="1:16">
      <c r="A14" s="20">
        <v>9</v>
      </c>
      <c r="B14" s="21" t="s">
        <v>30</v>
      </c>
      <c r="C14" s="17" t="s">
        <v>20</v>
      </c>
      <c r="D14" s="21" t="s">
        <v>29</v>
      </c>
      <c r="E14" s="23">
        <f>11896.73+2372.05</f>
        <v>14268.78</v>
      </c>
      <c r="F14" s="18">
        <v>4.53</v>
      </c>
      <c r="G14" s="40">
        <f t="shared" si="0"/>
        <v>64637.57</v>
      </c>
      <c r="H14" s="57"/>
      <c r="I14" s="57"/>
      <c r="J14" s="57"/>
      <c r="K14" s="57"/>
      <c r="L14" s="57"/>
      <c r="M14" s="57"/>
      <c r="N14" s="57"/>
      <c r="O14" s="57"/>
      <c r="P14" s="57"/>
    </row>
    <row r="15" s="56" customFormat="1" ht="36" spans="1:16">
      <c r="A15" s="20">
        <v>10</v>
      </c>
      <c r="B15" s="21" t="s">
        <v>31</v>
      </c>
      <c r="C15" s="17" t="s">
        <v>20</v>
      </c>
      <c r="D15" s="71" t="s">
        <v>26</v>
      </c>
      <c r="E15" s="23">
        <v>5799.06</v>
      </c>
      <c r="F15" s="18">
        <v>25</v>
      </c>
      <c r="G15" s="40">
        <f t="shared" si="0"/>
        <v>144976.5</v>
      </c>
      <c r="H15" s="57"/>
      <c r="I15" s="57"/>
      <c r="J15" s="57"/>
      <c r="K15" s="57"/>
      <c r="L15" s="57"/>
      <c r="M15" s="57"/>
      <c r="N15" s="57"/>
      <c r="O15" s="57"/>
      <c r="P15" s="57"/>
    </row>
    <row r="16" s="56" customFormat="1" ht="48" spans="1:16">
      <c r="A16" s="20">
        <v>11</v>
      </c>
      <c r="B16" s="25" t="s">
        <v>32</v>
      </c>
      <c r="C16" s="22" t="s">
        <v>20</v>
      </c>
      <c r="D16" s="21" t="s">
        <v>33</v>
      </c>
      <c r="E16" s="23">
        <f>434.7+220.3</f>
        <v>655</v>
      </c>
      <c r="F16" s="18">
        <v>9.71</v>
      </c>
      <c r="G16" s="40">
        <f t="shared" si="0"/>
        <v>6360.05</v>
      </c>
      <c r="H16" s="57"/>
      <c r="I16" s="57"/>
      <c r="J16" s="57"/>
      <c r="K16" s="57"/>
      <c r="L16" s="57"/>
      <c r="M16" s="57"/>
      <c r="N16" s="57"/>
      <c r="O16" s="57"/>
      <c r="P16" s="57"/>
    </row>
    <row r="17" s="56" customFormat="1" ht="48" spans="1:16">
      <c r="A17" s="20">
        <v>12</v>
      </c>
      <c r="B17" s="25" t="s">
        <v>78</v>
      </c>
      <c r="C17" s="22" t="s">
        <v>20</v>
      </c>
      <c r="D17" s="21" t="s">
        <v>33</v>
      </c>
      <c r="E17" s="23">
        <f>46+7</f>
        <v>53</v>
      </c>
      <c r="F17" s="18">
        <v>9.71</v>
      </c>
      <c r="G17" s="40">
        <f t="shared" si="0"/>
        <v>514.63</v>
      </c>
      <c r="H17" s="57"/>
      <c r="I17" s="57"/>
      <c r="J17" s="57"/>
      <c r="K17" s="57"/>
      <c r="L17" s="57"/>
      <c r="M17" s="57"/>
      <c r="N17" s="57"/>
      <c r="O17" s="57"/>
      <c r="P17" s="57"/>
    </row>
    <row r="18" s="56" customFormat="1" ht="36" spans="1:16">
      <c r="A18" s="20">
        <v>13</v>
      </c>
      <c r="B18" s="21" t="s">
        <v>79</v>
      </c>
      <c r="C18" s="17" t="s">
        <v>17</v>
      </c>
      <c r="D18" s="21" t="s">
        <v>80</v>
      </c>
      <c r="E18" s="18">
        <v>7950</v>
      </c>
      <c r="F18" s="18">
        <v>14.16</v>
      </c>
      <c r="G18" s="40">
        <f t="shared" si="0"/>
        <v>112572</v>
      </c>
      <c r="H18" s="57"/>
      <c r="I18" s="57"/>
      <c r="J18" s="58"/>
      <c r="K18" s="57"/>
      <c r="L18" s="57"/>
      <c r="M18" s="57"/>
      <c r="N18" s="57"/>
      <c r="O18" s="57"/>
      <c r="P18" s="57"/>
    </row>
    <row r="19" s="56" customFormat="1" ht="60" spans="1:16">
      <c r="A19" s="20">
        <v>14</v>
      </c>
      <c r="B19" s="25" t="s">
        <v>34</v>
      </c>
      <c r="C19" s="22" t="s">
        <v>20</v>
      </c>
      <c r="D19" s="21" t="s">
        <v>35</v>
      </c>
      <c r="E19" s="23">
        <f>213.9+159.45</f>
        <v>373.35</v>
      </c>
      <c r="F19" s="18">
        <v>128.83</v>
      </c>
      <c r="G19" s="40">
        <f t="shared" si="0"/>
        <v>48098.68</v>
      </c>
      <c r="H19" s="57"/>
      <c r="I19" s="57"/>
      <c r="J19" s="57"/>
      <c r="K19" s="57"/>
      <c r="L19" s="57"/>
      <c r="M19" s="57"/>
      <c r="N19" s="57"/>
      <c r="O19" s="57"/>
      <c r="P19" s="57"/>
    </row>
    <row r="20" s="56" customFormat="1" ht="20" customHeight="1" spans="1:16">
      <c r="A20" s="74" t="s">
        <v>81</v>
      </c>
      <c r="B20" s="75"/>
      <c r="C20" s="75"/>
      <c r="D20" s="75"/>
      <c r="E20" s="75"/>
      <c r="F20" s="75"/>
      <c r="G20" s="76"/>
      <c r="H20" s="57"/>
      <c r="I20" s="57"/>
      <c r="J20" s="57"/>
      <c r="K20" s="57"/>
      <c r="L20" s="57"/>
      <c r="M20" s="57"/>
      <c r="N20" s="57"/>
      <c r="O20" s="57"/>
      <c r="P20" s="57"/>
    </row>
    <row r="21" s="56" customFormat="1" ht="50" customHeight="1" spans="1:16">
      <c r="A21" s="59" t="s">
        <v>77</v>
      </c>
      <c r="B21" s="59"/>
      <c r="C21" s="59"/>
      <c r="D21" s="59"/>
      <c r="E21" s="60"/>
      <c r="F21" s="60"/>
      <c r="G21" s="60"/>
      <c r="H21" s="57"/>
      <c r="I21" s="57"/>
      <c r="J21" s="57"/>
      <c r="K21" s="57"/>
      <c r="L21" s="57"/>
      <c r="M21" s="57"/>
      <c r="N21" s="57"/>
      <c r="O21" s="57"/>
      <c r="P21" s="57"/>
    </row>
    <row r="22" s="56" customFormat="1" ht="18" customHeight="1" spans="1:16">
      <c r="A22" s="59"/>
      <c r="B22" s="59"/>
      <c r="C22" s="59"/>
      <c r="D22" s="59"/>
      <c r="E22" s="60"/>
      <c r="F22" s="60"/>
      <c r="G22" s="6" t="s">
        <v>1</v>
      </c>
      <c r="H22" s="57"/>
      <c r="I22" s="57"/>
      <c r="J22" s="57"/>
      <c r="K22" s="57"/>
      <c r="L22" s="57"/>
      <c r="M22" s="57"/>
      <c r="N22" s="57"/>
      <c r="O22" s="57"/>
      <c r="P22" s="57"/>
    </row>
    <row r="23" s="56" customFormat="1" ht="18" customHeight="1" spans="1:16">
      <c r="A23" s="61" t="s">
        <v>2</v>
      </c>
      <c r="B23" s="62" t="s">
        <v>3</v>
      </c>
      <c r="C23" s="62" t="s">
        <v>4</v>
      </c>
      <c r="D23" s="62" t="s">
        <v>5</v>
      </c>
      <c r="E23" s="63" t="s">
        <v>6</v>
      </c>
      <c r="F23" s="63" t="s">
        <v>7</v>
      </c>
      <c r="G23" s="64" t="s">
        <v>8</v>
      </c>
      <c r="H23" s="57"/>
      <c r="I23" s="57"/>
      <c r="J23" s="57"/>
      <c r="K23" s="57"/>
      <c r="L23" s="57"/>
      <c r="M23" s="57"/>
      <c r="N23" s="57"/>
      <c r="O23" s="57"/>
      <c r="P23" s="57"/>
    </row>
    <row r="24" s="56" customFormat="1" ht="60" spans="1:16">
      <c r="A24" s="20">
        <v>15</v>
      </c>
      <c r="B24" s="25" t="s">
        <v>36</v>
      </c>
      <c r="C24" s="22" t="s">
        <v>20</v>
      </c>
      <c r="D24" s="21" t="s">
        <v>37</v>
      </c>
      <c r="E24" s="23">
        <f>112.57+121.07</f>
        <v>233.64</v>
      </c>
      <c r="F24" s="18">
        <v>125.35</v>
      </c>
      <c r="G24" s="40">
        <f t="shared" ref="G24:G31" si="1">ROUND(E24*F24,2)</f>
        <v>29286.77</v>
      </c>
      <c r="H24" s="57"/>
      <c r="I24" s="57"/>
      <c r="J24" s="57"/>
      <c r="K24" s="57"/>
      <c r="L24" s="57"/>
      <c r="M24" s="57"/>
      <c r="N24" s="57"/>
      <c r="O24" s="57"/>
      <c r="P24" s="57"/>
    </row>
    <row r="25" s="56" customFormat="1" ht="60" spans="1:16">
      <c r="A25" s="20">
        <v>16</v>
      </c>
      <c r="B25" s="25" t="s">
        <v>82</v>
      </c>
      <c r="C25" s="22" t="s">
        <v>20</v>
      </c>
      <c r="D25" s="21" t="s">
        <v>35</v>
      </c>
      <c r="E25" s="23">
        <f>15+3.9</f>
        <v>18.9</v>
      </c>
      <c r="F25" s="18">
        <v>128.83</v>
      </c>
      <c r="G25" s="40">
        <f t="shared" si="1"/>
        <v>2434.89</v>
      </c>
      <c r="H25" s="57"/>
      <c r="I25" s="57"/>
      <c r="J25" s="57"/>
      <c r="K25" s="57"/>
      <c r="L25" s="57"/>
      <c r="M25" s="57"/>
      <c r="N25" s="57"/>
      <c r="O25" s="57"/>
      <c r="P25" s="57"/>
    </row>
    <row r="26" s="56" customFormat="1" ht="60" spans="1:16">
      <c r="A26" s="20">
        <v>17</v>
      </c>
      <c r="B26" s="25" t="s">
        <v>83</v>
      </c>
      <c r="C26" s="22" t="s">
        <v>20</v>
      </c>
      <c r="D26" s="21" t="s">
        <v>37</v>
      </c>
      <c r="E26" s="23">
        <f>2.5+0.65</f>
        <v>3.15</v>
      </c>
      <c r="F26" s="18">
        <v>125.35</v>
      </c>
      <c r="G26" s="40">
        <f t="shared" si="1"/>
        <v>394.85</v>
      </c>
      <c r="H26" s="57"/>
      <c r="I26" s="57"/>
      <c r="J26" s="57"/>
      <c r="K26" s="57"/>
      <c r="L26" s="57"/>
      <c r="M26" s="57"/>
      <c r="N26" s="57"/>
      <c r="O26" s="57"/>
      <c r="P26" s="57"/>
    </row>
    <row r="27" s="56" customFormat="1" ht="60" spans="1:16">
      <c r="A27" s="20">
        <v>18</v>
      </c>
      <c r="B27" s="25" t="s">
        <v>84</v>
      </c>
      <c r="C27" s="22" t="s">
        <v>20</v>
      </c>
      <c r="D27" s="21" t="s">
        <v>85</v>
      </c>
      <c r="E27" s="23">
        <v>105</v>
      </c>
      <c r="F27" s="18">
        <v>126.35</v>
      </c>
      <c r="G27" s="40">
        <f t="shared" si="1"/>
        <v>13266.75</v>
      </c>
      <c r="H27" s="57"/>
      <c r="I27" s="57"/>
      <c r="J27" s="57"/>
      <c r="K27" s="57"/>
      <c r="L27" s="57"/>
      <c r="M27" s="57"/>
      <c r="N27" s="57"/>
      <c r="O27" s="57"/>
      <c r="P27" s="57"/>
    </row>
    <row r="28" s="56" customFormat="1" ht="60" spans="1:16">
      <c r="A28" s="20">
        <v>19</v>
      </c>
      <c r="B28" s="25" t="s">
        <v>39</v>
      </c>
      <c r="C28" s="22" t="s">
        <v>40</v>
      </c>
      <c r="D28" s="25" t="s">
        <v>41</v>
      </c>
      <c r="E28" s="23">
        <v>20</v>
      </c>
      <c r="F28" s="18">
        <v>213.44</v>
      </c>
      <c r="G28" s="40">
        <f t="shared" si="1"/>
        <v>4268.8</v>
      </c>
      <c r="H28" s="57"/>
      <c r="I28" s="57"/>
      <c r="J28" s="57"/>
      <c r="K28" s="57"/>
      <c r="L28" s="57"/>
      <c r="M28" s="57"/>
      <c r="N28" s="57"/>
      <c r="O28" s="57"/>
      <c r="P28" s="57"/>
    </row>
    <row r="29" s="56" customFormat="1" ht="60" spans="1:16">
      <c r="A29" s="20">
        <v>20</v>
      </c>
      <c r="B29" s="25" t="s">
        <v>42</v>
      </c>
      <c r="C29" s="22" t="s">
        <v>20</v>
      </c>
      <c r="D29" s="21" t="s">
        <v>35</v>
      </c>
      <c r="E29" s="23">
        <f>2676.6+1396.9</f>
        <v>4073.5</v>
      </c>
      <c r="F29" s="18">
        <v>128.83</v>
      </c>
      <c r="G29" s="40">
        <f t="shared" si="1"/>
        <v>524789.01</v>
      </c>
      <c r="H29" s="57"/>
      <c r="I29" s="57"/>
      <c r="J29" s="57"/>
      <c r="K29" s="57"/>
      <c r="L29" s="57"/>
      <c r="M29" s="57"/>
      <c r="N29" s="57"/>
      <c r="O29" s="57"/>
      <c r="P29" s="57"/>
    </row>
    <row r="30" s="56" customFormat="1" ht="60" spans="1:16">
      <c r="A30" s="20">
        <v>21</v>
      </c>
      <c r="B30" s="25" t="s">
        <v>43</v>
      </c>
      <c r="C30" s="22" t="s">
        <v>20</v>
      </c>
      <c r="D30" s="21" t="s">
        <v>44</v>
      </c>
      <c r="E30" s="23">
        <f>1329.9+530.9</f>
        <v>1860.8</v>
      </c>
      <c r="F30" s="18">
        <v>109.8</v>
      </c>
      <c r="G30" s="40">
        <f t="shared" si="1"/>
        <v>204315.84</v>
      </c>
      <c r="H30" s="57"/>
      <c r="I30" s="57"/>
      <c r="J30" s="57"/>
      <c r="K30" s="57"/>
      <c r="L30" s="57"/>
      <c r="M30" s="57"/>
      <c r="N30" s="57"/>
      <c r="O30" s="57"/>
      <c r="P30" s="57"/>
    </row>
    <row r="31" s="56" customFormat="1" ht="36" spans="1:16">
      <c r="A31" s="20">
        <v>22</v>
      </c>
      <c r="B31" s="25" t="s">
        <v>45</v>
      </c>
      <c r="C31" s="22" t="s">
        <v>40</v>
      </c>
      <c r="D31" s="71" t="s">
        <v>46</v>
      </c>
      <c r="E31" s="23">
        <f>1080.1+1191.8</f>
        <v>2271.9</v>
      </c>
      <c r="F31" s="18">
        <v>20.38</v>
      </c>
      <c r="G31" s="40">
        <f t="shared" si="1"/>
        <v>46301.32</v>
      </c>
      <c r="H31" s="57"/>
      <c r="I31" s="57"/>
      <c r="J31" s="57"/>
      <c r="K31" s="57"/>
      <c r="L31" s="57"/>
      <c r="M31" s="57"/>
      <c r="N31" s="57"/>
      <c r="O31" s="57"/>
      <c r="P31" s="57"/>
    </row>
    <row r="32" s="56" customFormat="1" ht="18" customHeight="1" spans="1:16">
      <c r="A32" s="15" t="s">
        <v>50</v>
      </c>
      <c r="B32" s="16" t="s">
        <v>51</v>
      </c>
      <c r="C32" s="17"/>
      <c r="D32" s="17"/>
      <c r="E32" s="18"/>
      <c r="F32" s="18"/>
      <c r="G32" s="19">
        <f>SUM(G33:G33)</f>
        <v>102765.48</v>
      </c>
      <c r="H32" s="57"/>
      <c r="I32" s="57"/>
      <c r="J32" s="57"/>
      <c r="K32" s="57"/>
      <c r="L32" s="57"/>
      <c r="M32" s="57"/>
      <c r="N32" s="57"/>
      <c r="O32" s="57"/>
      <c r="P32" s="57"/>
    </row>
    <row r="33" s="56" customFormat="1" ht="60" spans="1:16">
      <c r="A33" s="39">
        <v>1</v>
      </c>
      <c r="B33" s="25" t="s">
        <v>53</v>
      </c>
      <c r="C33" s="22" t="s">
        <v>20</v>
      </c>
      <c r="D33" s="21" t="s">
        <v>37</v>
      </c>
      <c r="E33" s="23">
        <f>414+420</f>
        <v>834</v>
      </c>
      <c r="F33" s="23">
        <v>123.22</v>
      </c>
      <c r="G33" s="24">
        <f>ROUND(E33*F33,2)</f>
        <v>102765.48</v>
      </c>
      <c r="H33" s="57"/>
      <c r="I33" s="57"/>
      <c r="J33" s="57"/>
      <c r="K33" s="57"/>
      <c r="L33" s="57"/>
      <c r="M33" s="57"/>
      <c r="N33" s="57"/>
      <c r="O33" s="57"/>
      <c r="P33" s="57"/>
    </row>
    <row r="34" s="56" customFormat="1" ht="18" customHeight="1" spans="1:16">
      <c r="A34" s="15" t="s">
        <v>54</v>
      </c>
      <c r="B34" s="16" t="s">
        <v>55</v>
      </c>
      <c r="C34" s="17"/>
      <c r="D34" s="17"/>
      <c r="E34" s="18"/>
      <c r="F34" s="18"/>
      <c r="G34" s="19">
        <f>SUM(G35:G41)</f>
        <v>186537.09</v>
      </c>
      <c r="H34" s="57"/>
      <c r="I34" s="57"/>
      <c r="J34" s="57"/>
      <c r="K34" s="57"/>
      <c r="L34" s="57"/>
      <c r="M34" s="57"/>
      <c r="N34" s="57"/>
      <c r="O34" s="57"/>
      <c r="P34" s="57"/>
    </row>
    <row r="35" s="56" customFormat="1" ht="60" spans="1:16">
      <c r="A35" s="20">
        <v>1</v>
      </c>
      <c r="B35" s="25" t="s">
        <v>56</v>
      </c>
      <c r="C35" s="22" t="s">
        <v>40</v>
      </c>
      <c r="D35" s="25" t="s">
        <v>41</v>
      </c>
      <c r="E35" s="23">
        <f>44.36+19</f>
        <v>63.36</v>
      </c>
      <c r="F35" s="18">
        <v>1455.92</v>
      </c>
      <c r="G35" s="24">
        <f>ROUND(E35*F35,2)</f>
        <v>92247.09</v>
      </c>
      <c r="H35" s="57"/>
      <c r="I35" s="57"/>
      <c r="J35" s="57"/>
      <c r="K35" s="57"/>
      <c r="L35" s="57"/>
      <c r="M35" s="57"/>
      <c r="N35" s="57"/>
      <c r="O35" s="57"/>
      <c r="P35" s="57"/>
    </row>
    <row r="36" s="56" customFormat="1" ht="72" spans="1:16">
      <c r="A36" s="20">
        <v>2</v>
      </c>
      <c r="B36" s="25" t="s">
        <v>57</v>
      </c>
      <c r="C36" s="22" t="s">
        <v>40</v>
      </c>
      <c r="D36" s="25" t="s">
        <v>58</v>
      </c>
      <c r="E36" s="23">
        <v>18</v>
      </c>
      <c r="F36" s="18">
        <v>1700</v>
      </c>
      <c r="G36" s="24">
        <f>ROUND(E36*F36,2)</f>
        <v>30600</v>
      </c>
      <c r="H36" s="57"/>
      <c r="I36" s="57"/>
      <c r="J36" s="57"/>
      <c r="K36" s="57"/>
      <c r="L36" s="57"/>
      <c r="M36" s="57"/>
      <c r="N36" s="57"/>
      <c r="O36" s="57"/>
      <c r="P36" s="57"/>
    </row>
    <row r="37" s="56" customFormat="1" ht="18" customHeight="1" spans="1:16">
      <c r="A37" s="74" t="s">
        <v>86</v>
      </c>
      <c r="B37" s="75"/>
      <c r="C37" s="75"/>
      <c r="D37" s="75"/>
      <c r="E37" s="75"/>
      <c r="F37" s="75"/>
      <c r="G37" s="76"/>
      <c r="H37" s="57"/>
      <c r="I37" s="57"/>
      <c r="J37" s="57"/>
      <c r="K37" s="57"/>
      <c r="L37" s="57"/>
      <c r="M37" s="57"/>
      <c r="N37" s="57"/>
      <c r="O37" s="57"/>
      <c r="P37" s="57"/>
    </row>
    <row r="38" s="56" customFormat="1" ht="50" customHeight="1" spans="1:16">
      <c r="A38" s="59" t="s">
        <v>77</v>
      </c>
      <c r="B38" s="59"/>
      <c r="C38" s="59"/>
      <c r="D38" s="59"/>
      <c r="E38" s="60"/>
      <c r="F38" s="60"/>
      <c r="G38" s="60"/>
      <c r="H38" s="57"/>
      <c r="I38" s="57"/>
      <c r="J38" s="57"/>
      <c r="K38" s="57"/>
      <c r="L38" s="57"/>
      <c r="M38" s="57"/>
      <c r="N38" s="57"/>
      <c r="O38" s="57"/>
      <c r="P38" s="57"/>
    </row>
    <row r="39" s="56" customFormat="1" ht="18" customHeight="1" spans="1:16">
      <c r="A39" s="59"/>
      <c r="B39" s="59"/>
      <c r="C39" s="59"/>
      <c r="D39" s="59"/>
      <c r="E39" s="60"/>
      <c r="F39" s="60"/>
      <c r="G39" s="6" t="s">
        <v>1</v>
      </c>
      <c r="H39" s="57"/>
      <c r="I39" s="57"/>
      <c r="J39" s="57"/>
      <c r="K39" s="57"/>
      <c r="L39" s="57"/>
      <c r="M39" s="57"/>
      <c r="N39" s="57"/>
      <c r="O39" s="57"/>
      <c r="P39" s="57"/>
    </row>
    <row r="40" s="56" customFormat="1" ht="18" customHeight="1" spans="1:16">
      <c r="A40" s="61" t="s">
        <v>2</v>
      </c>
      <c r="B40" s="62" t="s">
        <v>3</v>
      </c>
      <c r="C40" s="62" t="s">
        <v>4</v>
      </c>
      <c r="D40" s="62" t="s">
        <v>5</v>
      </c>
      <c r="E40" s="63" t="s">
        <v>6</v>
      </c>
      <c r="F40" s="63" t="s">
        <v>7</v>
      </c>
      <c r="G40" s="64" t="s">
        <v>8</v>
      </c>
      <c r="H40" s="57"/>
      <c r="I40" s="57"/>
      <c r="J40" s="57"/>
      <c r="K40" s="57"/>
      <c r="L40" s="57"/>
      <c r="M40" s="57"/>
      <c r="N40" s="57"/>
      <c r="O40" s="57"/>
      <c r="P40" s="57"/>
    </row>
    <row r="41" s="56" customFormat="1" ht="72" spans="1:16">
      <c r="A41" s="20">
        <v>3</v>
      </c>
      <c r="B41" s="25" t="s">
        <v>87</v>
      </c>
      <c r="C41" s="22" t="s">
        <v>40</v>
      </c>
      <c r="D41" s="25" t="s">
        <v>58</v>
      </c>
      <c r="E41" s="23">
        <v>28.95</v>
      </c>
      <c r="F41" s="18">
        <v>2200</v>
      </c>
      <c r="G41" s="24">
        <f>ROUND(E41*F41,2)</f>
        <v>63690</v>
      </c>
      <c r="H41" s="57"/>
      <c r="I41" s="57"/>
      <c r="J41" s="57"/>
      <c r="K41" s="57"/>
      <c r="L41" s="57"/>
      <c r="M41" s="57"/>
      <c r="N41" s="57"/>
      <c r="O41" s="57"/>
      <c r="P41" s="57"/>
    </row>
    <row r="42" s="56" customFormat="1" ht="20" customHeight="1" spans="1:16">
      <c r="A42" s="15" t="s">
        <v>59</v>
      </c>
      <c r="B42" s="16" t="s">
        <v>60</v>
      </c>
      <c r="C42" s="22"/>
      <c r="D42" s="22"/>
      <c r="E42" s="23"/>
      <c r="F42" s="23"/>
      <c r="G42" s="31">
        <f>SUM(G43:G47)</f>
        <v>28609.27</v>
      </c>
      <c r="H42" s="57"/>
      <c r="I42" s="57"/>
      <c r="J42" s="57"/>
      <c r="K42" s="57"/>
      <c r="L42" s="57"/>
      <c r="M42" s="57"/>
      <c r="N42" s="57"/>
      <c r="O42" s="57"/>
      <c r="P42" s="57"/>
    </row>
    <row r="43" s="56" customFormat="1" ht="48" spans="1:16">
      <c r="A43" s="39">
        <v>1</v>
      </c>
      <c r="B43" s="21" t="s">
        <v>19</v>
      </c>
      <c r="C43" s="17" t="s">
        <v>20</v>
      </c>
      <c r="D43" s="21" t="s">
        <v>21</v>
      </c>
      <c r="E43" s="23">
        <f>205.2+17</f>
        <v>222.2</v>
      </c>
      <c r="F43" s="18">
        <v>3.94</v>
      </c>
      <c r="G43" s="24">
        <f t="shared" ref="G43:G47" si="2">ROUND(E43*F43,2)</f>
        <v>875.47</v>
      </c>
      <c r="H43" s="57"/>
      <c r="I43" s="57"/>
      <c r="J43" s="57"/>
      <c r="K43" s="57"/>
      <c r="L43" s="57"/>
      <c r="M43" s="57"/>
      <c r="N43" s="57"/>
      <c r="O43" s="57"/>
      <c r="P43" s="57"/>
    </row>
    <row r="44" s="56" customFormat="1" ht="60" spans="1:16">
      <c r="A44" s="39">
        <v>2</v>
      </c>
      <c r="B44" s="21" t="s">
        <v>24</v>
      </c>
      <c r="C44" s="17" t="s">
        <v>20</v>
      </c>
      <c r="D44" s="21" t="s">
        <v>23</v>
      </c>
      <c r="E44" s="23">
        <f>478.8+41</f>
        <v>519.8</v>
      </c>
      <c r="F44" s="18">
        <v>15.59</v>
      </c>
      <c r="G44" s="24">
        <f t="shared" si="2"/>
        <v>8103.68</v>
      </c>
      <c r="H44" s="57"/>
      <c r="I44" s="57"/>
      <c r="J44" s="57"/>
      <c r="K44" s="57"/>
      <c r="L44" s="57"/>
      <c r="M44" s="57"/>
      <c r="N44" s="57"/>
      <c r="O44" s="57"/>
      <c r="P44" s="57"/>
    </row>
    <row r="45" s="56" customFormat="1" ht="36" spans="1:16">
      <c r="A45" s="39">
        <v>3</v>
      </c>
      <c r="B45" s="21" t="s">
        <v>25</v>
      </c>
      <c r="C45" s="72" t="s">
        <v>20</v>
      </c>
      <c r="D45" s="71" t="s">
        <v>26</v>
      </c>
      <c r="E45" s="23">
        <f>E43+E44</f>
        <v>742</v>
      </c>
      <c r="F45" s="18">
        <v>6.85</v>
      </c>
      <c r="G45" s="24">
        <f t="shared" si="2"/>
        <v>5082.7</v>
      </c>
      <c r="H45" s="57"/>
      <c r="I45" s="57"/>
      <c r="J45" s="57"/>
      <c r="K45" s="57"/>
      <c r="L45" s="57"/>
      <c r="M45" s="57"/>
      <c r="N45" s="57"/>
      <c r="O45" s="57"/>
      <c r="P45" s="57"/>
    </row>
    <row r="46" s="56" customFormat="1" ht="36" spans="1:16">
      <c r="A46" s="39">
        <v>4</v>
      </c>
      <c r="B46" s="21" t="s">
        <v>27</v>
      </c>
      <c r="C46" s="17" t="s">
        <v>20</v>
      </c>
      <c r="D46" s="71" t="s">
        <v>26</v>
      </c>
      <c r="E46" s="23">
        <f>E45</f>
        <v>742</v>
      </c>
      <c r="F46" s="18">
        <v>1.26</v>
      </c>
      <c r="G46" s="24">
        <f t="shared" si="2"/>
        <v>934.92</v>
      </c>
      <c r="H46" s="57"/>
      <c r="I46" s="57"/>
      <c r="J46" s="57"/>
      <c r="K46" s="57"/>
      <c r="L46" s="57"/>
      <c r="M46" s="57"/>
      <c r="N46" s="57"/>
      <c r="O46" s="57"/>
      <c r="P46" s="57"/>
    </row>
    <row r="47" s="56" customFormat="1" ht="60" spans="1:16">
      <c r="A47" s="39">
        <v>5</v>
      </c>
      <c r="B47" s="21" t="s">
        <v>62</v>
      </c>
      <c r="C47" s="17" t="s">
        <v>17</v>
      </c>
      <c r="D47" s="21" t="s">
        <v>37</v>
      </c>
      <c r="E47" s="23">
        <v>605</v>
      </c>
      <c r="F47" s="18">
        <v>22.5</v>
      </c>
      <c r="G47" s="24">
        <f t="shared" si="2"/>
        <v>13612.5</v>
      </c>
      <c r="H47" s="57"/>
      <c r="I47" s="57"/>
      <c r="J47" s="57"/>
      <c r="K47" s="57"/>
      <c r="L47" s="57"/>
      <c r="M47" s="57"/>
      <c r="N47" s="57"/>
      <c r="O47" s="57"/>
      <c r="P47" s="57"/>
    </row>
    <row r="48" s="56" customFormat="1" ht="30" customHeight="1" spans="1:16">
      <c r="A48" s="15" t="s">
        <v>63</v>
      </c>
      <c r="B48" s="16" t="s">
        <v>64</v>
      </c>
      <c r="C48" s="17"/>
      <c r="D48" s="17"/>
      <c r="E48" s="18"/>
      <c r="F48" s="23"/>
      <c r="G48" s="31">
        <f>SUM(G49:G49)</f>
        <v>9037.16</v>
      </c>
      <c r="H48" s="57"/>
      <c r="I48" s="57"/>
      <c r="J48" s="57"/>
      <c r="K48" s="57"/>
      <c r="L48" s="57"/>
      <c r="M48" s="57"/>
      <c r="N48" s="57"/>
      <c r="O48" s="57"/>
      <c r="P48" s="57"/>
    </row>
    <row r="49" s="56" customFormat="1" ht="36" spans="1:16">
      <c r="A49" s="39">
        <v>1</v>
      </c>
      <c r="B49" s="25" t="s">
        <v>65</v>
      </c>
      <c r="C49" s="22" t="s">
        <v>40</v>
      </c>
      <c r="D49" s="21" t="s">
        <v>66</v>
      </c>
      <c r="E49" s="23">
        <f>517+517</f>
        <v>1034</v>
      </c>
      <c r="F49" s="18">
        <v>8.74</v>
      </c>
      <c r="G49" s="24">
        <f>ROUND(E49*F49,2)</f>
        <v>9037.16</v>
      </c>
      <c r="H49" s="57"/>
      <c r="I49" s="57"/>
      <c r="J49" s="57"/>
      <c r="K49" s="57"/>
      <c r="L49" s="57"/>
      <c r="M49" s="57"/>
      <c r="N49" s="57"/>
      <c r="O49" s="57"/>
      <c r="P49" s="57"/>
    </row>
    <row r="50" s="56" customFormat="1" ht="20" customHeight="1" spans="1:16">
      <c r="A50" s="15" t="s">
        <v>88</v>
      </c>
      <c r="B50" s="16" t="s">
        <v>89</v>
      </c>
      <c r="C50" s="22"/>
      <c r="D50" s="22"/>
      <c r="E50" s="23"/>
      <c r="F50" s="23"/>
      <c r="G50" s="31">
        <f>SUM(G51:G52)</f>
        <v>5244.02</v>
      </c>
      <c r="H50" s="57"/>
      <c r="I50" s="57"/>
      <c r="J50" s="57"/>
      <c r="K50" s="57"/>
      <c r="L50" s="57"/>
      <c r="M50" s="57"/>
      <c r="N50" s="57"/>
      <c r="O50" s="57"/>
      <c r="P50" s="57"/>
    </row>
    <row r="51" s="56" customFormat="1" ht="60" spans="1:16">
      <c r="A51" s="39">
        <v>1</v>
      </c>
      <c r="B51" s="25" t="s">
        <v>90</v>
      </c>
      <c r="C51" s="22" t="s">
        <v>20</v>
      </c>
      <c r="D51" s="21" t="s">
        <v>35</v>
      </c>
      <c r="E51" s="23">
        <v>30.75</v>
      </c>
      <c r="F51" s="18">
        <v>128.83</v>
      </c>
      <c r="G51" s="24">
        <f>ROUND(E51*F51,2)</f>
        <v>3961.52</v>
      </c>
      <c r="H51" s="57"/>
      <c r="I51" s="57"/>
      <c r="J51" s="57"/>
      <c r="K51" s="57"/>
      <c r="L51" s="57"/>
      <c r="M51" s="57"/>
      <c r="N51" s="57"/>
      <c r="O51" s="57"/>
      <c r="P51" s="57"/>
    </row>
    <row r="52" s="56" customFormat="1" ht="60" spans="1:16">
      <c r="A52" s="39">
        <v>2</v>
      </c>
      <c r="B52" s="25" t="s">
        <v>91</v>
      </c>
      <c r="C52" s="17" t="s">
        <v>17</v>
      </c>
      <c r="D52" s="21" t="s">
        <v>37</v>
      </c>
      <c r="E52" s="23">
        <v>57</v>
      </c>
      <c r="F52" s="18">
        <v>22.5</v>
      </c>
      <c r="G52" s="24">
        <f>ROUND(E52*F52,2)</f>
        <v>1282.5</v>
      </c>
      <c r="H52" s="57"/>
      <c r="I52" s="57"/>
      <c r="J52" s="57"/>
      <c r="K52" s="57"/>
      <c r="L52" s="57"/>
      <c r="M52" s="57"/>
      <c r="N52" s="57"/>
      <c r="O52" s="57"/>
      <c r="P52" s="57"/>
    </row>
    <row r="53" s="56" customFormat="1" ht="20" customHeight="1" spans="1:16">
      <c r="A53" s="15" t="s">
        <v>67</v>
      </c>
      <c r="B53" s="26" t="s">
        <v>68</v>
      </c>
      <c r="C53" s="27" t="s">
        <v>69</v>
      </c>
      <c r="D53" s="27"/>
      <c r="E53" s="18">
        <v>0.5</v>
      </c>
      <c r="F53" s="18">
        <f>G4</f>
        <v>3207812.06</v>
      </c>
      <c r="G53" s="19">
        <f>ROUND(E53*F53/100,2)</f>
        <v>16039.06</v>
      </c>
      <c r="H53" s="57"/>
      <c r="I53" s="57"/>
      <c r="J53" s="57"/>
      <c r="K53" s="57"/>
      <c r="L53" s="57"/>
      <c r="M53" s="57"/>
      <c r="N53" s="57"/>
      <c r="O53" s="57"/>
      <c r="P53" s="57"/>
    </row>
    <row r="54" s="56" customFormat="1" ht="20" customHeight="1" spans="1:16">
      <c r="A54" s="15" t="s">
        <v>70</v>
      </c>
      <c r="B54" s="26" t="s">
        <v>71</v>
      </c>
      <c r="C54" s="17" t="s">
        <v>72</v>
      </c>
      <c r="D54" s="17"/>
      <c r="E54" s="18">
        <v>1</v>
      </c>
      <c r="F54" s="18">
        <v>30000</v>
      </c>
      <c r="G54" s="19">
        <f>ROUND(E54*F54,2)</f>
        <v>30000</v>
      </c>
      <c r="H54" s="57"/>
      <c r="I54" s="57"/>
      <c r="J54" s="57"/>
      <c r="K54" s="57"/>
      <c r="L54" s="57"/>
      <c r="M54" s="57"/>
      <c r="N54" s="57"/>
      <c r="O54" s="57"/>
      <c r="P54" s="57"/>
    </row>
    <row r="55" s="56" customFormat="1" ht="20" customHeight="1" spans="1:16">
      <c r="A55" s="15" t="s">
        <v>73</v>
      </c>
      <c r="B55" s="69" t="s">
        <v>74</v>
      </c>
      <c r="C55" s="27" t="s">
        <v>69</v>
      </c>
      <c r="D55" s="27"/>
      <c r="E55" s="18">
        <v>9</v>
      </c>
      <c r="F55" s="18">
        <f>G4+G53+G54</f>
        <v>3253851.12</v>
      </c>
      <c r="G55" s="19">
        <f>ROUND(E55*F55/100,2)</f>
        <v>292846.6</v>
      </c>
      <c r="H55" s="57"/>
      <c r="I55" s="57"/>
      <c r="J55" s="57"/>
      <c r="K55" s="57"/>
      <c r="L55" s="57"/>
      <c r="M55" s="57"/>
      <c r="N55" s="57"/>
      <c r="O55" s="57"/>
      <c r="P55" s="57"/>
    </row>
    <row r="56" s="56" customFormat="1" ht="20" customHeight="1" spans="1:16">
      <c r="A56" s="20"/>
      <c r="B56" s="69" t="s">
        <v>75</v>
      </c>
      <c r="C56" s="17"/>
      <c r="D56" s="17"/>
      <c r="E56" s="18"/>
      <c r="F56" s="18"/>
      <c r="G56" s="19">
        <f>G4+G53+G54+G55</f>
        <v>3546697.72</v>
      </c>
      <c r="H56" s="57"/>
      <c r="I56" s="57"/>
      <c r="J56" s="57"/>
      <c r="K56" s="57"/>
      <c r="L56" s="57"/>
      <c r="M56" s="57"/>
      <c r="N56" s="57"/>
      <c r="O56" s="57"/>
      <c r="P56" s="57"/>
    </row>
    <row r="57" s="56" customFormat="1" ht="20" customHeight="1" spans="1:16">
      <c r="A57" s="20"/>
      <c r="B57" s="17"/>
      <c r="C57" s="17"/>
      <c r="D57" s="17"/>
      <c r="E57" s="18"/>
      <c r="F57" s="18"/>
      <c r="G57" s="40"/>
      <c r="H57" s="57"/>
      <c r="I57" s="57"/>
      <c r="J57" s="57"/>
      <c r="K57" s="57"/>
      <c r="L57" s="57"/>
      <c r="M57" s="57"/>
      <c r="N57" s="57"/>
      <c r="O57" s="57"/>
      <c r="P57" s="57"/>
    </row>
    <row r="58" s="56" customFormat="1" ht="20" customHeight="1" spans="1:16">
      <c r="A58" s="20"/>
      <c r="B58" s="17"/>
      <c r="C58" s="17"/>
      <c r="D58" s="17"/>
      <c r="E58" s="18"/>
      <c r="F58" s="18"/>
      <c r="G58" s="40"/>
      <c r="H58" s="57"/>
      <c r="I58" s="57"/>
      <c r="J58" s="57"/>
      <c r="K58" s="57"/>
      <c r="L58" s="57"/>
      <c r="M58" s="57"/>
      <c r="N58" s="57"/>
      <c r="O58" s="57"/>
      <c r="P58" s="57"/>
    </row>
    <row r="59" s="56" customFormat="1" ht="20" customHeight="1" spans="1:16">
      <c r="A59" s="74" t="s">
        <v>86</v>
      </c>
      <c r="B59" s="75"/>
      <c r="C59" s="75"/>
      <c r="D59" s="75"/>
      <c r="E59" s="75"/>
      <c r="F59" s="75"/>
      <c r="G59" s="76"/>
      <c r="H59" s="57"/>
      <c r="I59" s="57"/>
      <c r="J59" s="57"/>
      <c r="K59" s="57"/>
      <c r="L59" s="57"/>
      <c r="M59" s="57"/>
      <c r="N59" s="57"/>
      <c r="O59" s="57"/>
      <c r="P59" s="57"/>
    </row>
    <row r="60" s="56" customFormat="1" ht="20" customHeight="1" spans="1:16">
      <c r="A60" s="57"/>
      <c r="B60" s="57"/>
      <c r="C60" s="57"/>
      <c r="D60" s="57"/>
      <c r="E60" s="58"/>
      <c r="F60" s="58"/>
      <c r="G60" s="58"/>
      <c r="H60" s="57"/>
      <c r="I60" s="57"/>
      <c r="J60" s="57"/>
      <c r="K60" s="57"/>
      <c r="L60" s="57"/>
      <c r="M60" s="57"/>
      <c r="N60" s="57"/>
      <c r="O60" s="57"/>
      <c r="P60" s="57"/>
    </row>
    <row r="61" s="56" customFormat="1" ht="20" customHeight="1" spans="1:16">
      <c r="A61" s="57"/>
      <c r="B61" s="57"/>
      <c r="C61" s="57"/>
      <c r="D61" s="57"/>
      <c r="E61" s="58"/>
      <c r="F61" s="58"/>
      <c r="G61" s="58"/>
      <c r="H61" s="57"/>
      <c r="I61" s="57"/>
      <c r="J61" s="57"/>
      <c r="K61" s="57"/>
      <c r="L61" s="57"/>
      <c r="M61" s="57"/>
      <c r="N61" s="57"/>
      <c r="O61" s="57"/>
      <c r="P61" s="57"/>
    </row>
    <row r="62" s="56" customFormat="1" ht="20" customHeight="1" spans="1:16">
      <c r="A62" s="57"/>
      <c r="B62" s="57"/>
      <c r="C62" s="57"/>
      <c r="D62" s="57"/>
      <c r="E62" s="58"/>
      <c r="F62" s="58"/>
      <c r="G62" s="58"/>
      <c r="H62" s="57"/>
      <c r="I62" s="57"/>
      <c r="J62" s="57"/>
      <c r="K62" s="57"/>
      <c r="L62" s="57"/>
      <c r="M62" s="57"/>
      <c r="N62" s="57"/>
      <c r="O62" s="57"/>
      <c r="P62" s="57"/>
    </row>
    <row r="63" s="56" customFormat="1" ht="20" customHeight="1" spans="1:16">
      <c r="A63" s="57"/>
      <c r="B63" s="57"/>
      <c r="C63" s="57"/>
      <c r="D63" s="57"/>
      <c r="E63" s="58"/>
      <c r="F63" s="58"/>
      <c r="G63" s="58"/>
      <c r="H63" s="57"/>
      <c r="I63" s="57"/>
      <c r="J63" s="57"/>
      <c r="K63" s="57"/>
      <c r="L63" s="57"/>
      <c r="M63" s="57"/>
      <c r="N63" s="57"/>
      <c r="O63" s="57"/>
      <c r="P63" s="57"/>
    </row>
    <row r="64" s="56" customFormat="1" ht="18" customHeight="1" spans="1:16">
      <c r="A64" s="57"/>
      <c r="B64" s="57"/>
      <c r="C64" s="57"/>
      <c r="D64" s="57"/>
      <c r="E64" s="58"/>
      <c r="F64" s="58"/>
      <c r="G64" s="58"/>
      <c r="H64" s="57"/>
      <c r="I64" s="57"/>
      <c r="J64" s="57"/>
      <c r="K64" s="57"/>
      <c r="L64" s="57"/>
      <c r="M64" s="57"/>
      <c r="N64" s="57"/>
      <c r="O64" s="57"/>
      <c r="P64" s="57"/>
    </row>
    <row r="65" s="56" customFormat="1" ht="18" customHeight="1" spans="1:16">
      <c r="A65" s="57"/>
      <c r="B65" s="57"/>
      <c r="C65" s="57"/>
      <c r="D65" s="57"/>
      <c r="E65" s="58"/>
      <c r="F65" s="58"/>
      <c r="G65" s="58"/>
      <c r="H65" s="57"/>
      <c r="I65" s="57"/>
      <c r="J65" s="57"/>
      <c r="K65" s="57"/>
      <c r="L65" s="57"/>
      <c r="M65" s="57"/>
      <c r="N65" s="57"/>
      <c r="O65" s="57"/>
      <c r="P65" s="57"/>
    </row>
    <row r="66" s="56" customFormat="1" ht="18" customHeight="1" spans="1:16">
      <c r="A66" s="57"/>
      <c r="B66" s="57"/>
      <c r="C66" s="57"/>
      <c r="D66" s="57"/>
      <c r="E66" s="58"/>
      <c r="F66" s="58"/>
      <c r="G66" s="58"/>
      <c r="H66" s="57"/>
      <c r="I66" s="57"/>
      <c r="J66" s="57"/>
      <c r="K66" s="57"/>
      <c r="L66" s="57"/>
      <c r="M66" s="57"/>
      <c r="N66" s="57"/>
      <c r="O66" s="57"/>
      <c r="P66" s="57"/>
    </row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</sheetData>
  <mergeCells count="6">
    <mergeCell ref="A1:G1"/>
    <mergeCell ref="A20:G20"/>
    <mergeCell ref="A21:G21"/>
    <mergeCell ref="A37:G37"/>
    <mergeCell ref="A38:G38"/>
    <mergeCell ref="A59:G59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8"/>
  <sheetViews>
    <sheetView topLeftCell="A39" workbookViewId="0">
      <selection activeCell="A39" sqref="A39:G39"/>
    </sheetView>
  </sheetViews>
  <sheetFormatPr defaultColWidth="9" defaultRowHeight="14"/>
  <cols>
    <col min="1" max="1" width="5.62727272727273" style="57" customWidth="1"/>
    <col min="2" max="2" width="22.6272727272727" style="57" customWidth="1"/>
    <col min="3" max="3" width="5.62727272727273" style="57" customWidth="1"/>
    <col min="4" max="4" width="20.6272727272727" style="57" customWidth="1"/>
    <col min="5" max="5" width="10.6272727272727" style="58" customWidth="1"/>
    <col min="6" max="6" width="12.6272727272727" style="58" customWidth="1"/>
    <col min="7" max="7" width="13.6272727272727" style="58" customWidth="1"/>
    <col min="8" max="16" width="9" style="57"/>
    <col min="17" max="16384" width="9" style="56"/>
  </cols>
  <sheetData>
    <row r="1" s="56" customFormat="1" ht="51" customHeight="1" spans="1:16">
      <c r="A1" s="59" t="s">
        <v>92</v>
      </c>
      <c r="B1" s="59"/>
      <c r="C1" s="59"/>
      <c r="D1" s="59"/>
      <c r="E1" s="60"/>
      <c r="F1" s="60"/>
      <c r="G1" s="60"/>
      <c r="H1" s="57"/>
      <c r="I1" s="57"/>
      <c r="J1" s="57"/>
      <c r="K1" s="57"/>
      <c r="L1" s="57"/>
      <c r="M1" s="57"/>
      <c r="N1" s="57"/>
      <c r="O1" s="57"/>
      <c r="P1" s="57"/>
    </row>
    <row r="2" s="56" customFormat="1" ht="18" customHeight="1" spans="1:16">
      <c r="A2" s="59"/>
      <c r="B2" s="59"/>
      <c r="C2" s="59"/>
      <c r="D2" s="59"/>
      <c r="E2" s="60"/>
      <c r="F2" s="6" t="s">
        <v>1</v>
      </c>
      <c r="G2" s="6"/>
      <c r="H2" s="57"/>
      <c r="I2" s="57"/>
      <c r="J2" s="57"/>
      <c r="K2" s="57"/>
      <c r="L2" s="57"/>
      <c r="M2" s="57"/>
      <c r="N2" s="57"/>
      <c r="O2" s="57"/>
      <c r="P2" s="57"/>
    </row>
    <row r="3" s="56" customFormat="1" ht="18" customHeight="1" spans="1:16">
      <c r="A3" s="61" t="s">
        <v>2</v>
      </c>
      <c r="B3" s="62" t="s">
        <v>3</v>
      </c>
      <c r="C3" s="62" t="s">
        <v>4</v>
      </c>
      <c r="D3" s="62" t="s">
        <v>5</v>
      </c>
      <c r="E3" s="63" t="s">
        <v>6</v>
      </c>
      <c r="F3" s="63" t="s">
        <v>7</v>
      </c>
      <c r="G3" s="64" t="s">
        <v>8</v>
      </c>
      <c r="H3" s="57"/>
      <c r="I3" s="57"/>
      <c r="J3" s="57"/>
      <c r="K3" s="57"/>
      <c r="L3" s="57"/>
      <c r="M3" s="57"/>
      <c r="N3" s="57"/>
      <c r="O3" s="57"/>
      <c r="P3" s="57"/>
    </row>
    <row r="4" s="56" customFormat="1" ht="18" customHeight="1" spans="1:16">
      <c r="A4" s="65" t="s">
        <v>9</v>
      </c>
      <c r="B4" s="66" t="s">
        <v>10</v>
      </c>
      <c r="C4" s="66"/>
      <c r="D4" s="66"/>
      <c r="E4" s="67"/>
      <c r="F4" s="67"/>
      <c r="G4" s="68">
        <f>G5+G29+G31+G34+G44</f>
        <v>3872809.66</v>
      </c>
      <c r="H4" s="57"/>
      <c r="I4" s="57"/>
      <c r="J4" s="57"/>
      <c r="K4" s="57"/>
      <c r="L4" s="57"/>
      <c r="M4" s="57"/>
      <c r="N4" s="57"/>
      <c r="O4" s="57"/>
      <c r="P4" s="57"/>
    </row>
    <row r="5" s="56" customFormat="1" ht="18" customHeight="1" spans="1:16">
      <c r="A5" s="15" t="s">
        <v>11</v>
      </c>
      <c r="B5" s="16" t="s">
        <v>12</v>
      </c>
      <c r="C5" s="69"/>
      <c r="D5" s="69"/>
      <c r="E5" s="70"/>
      <c r="F5" s="18"/>
      <c r="G5" s="19">
        <f>SUM(G6:G28)</f>
        <v>3697205.43</v>
      </c>
      <c r="H5" s="57"/>
      <c r="I5" s="57"/>
      <c r="J5" s="57"/>
      <c r="K5" s="57"/>
      <c r="L5" s="57"/>
      <c r="M5" s="57"/>
      <c r="N5" s="57"/>
      <c r="O5" s="57"/>
      <c r="P5" s="57"/>
    </row>
    <row r="6" s="56" customFormat="1" ht="36" spans="1:16">
      <c r="A6" s="20">
        <v>1</v>
      </c>
      <c r="B6" s="25" t="s">
        <v>13</v>
      </c>
      <c r="C6" s="22" t="s">
        <v>14</v>
      </c>
      <c r="D6" s="25" t="s">
        <v>15</v>
      </c>
      <c r="E6" s="23">
        <f>620+1653</f>
        <v>2273</v>
      </c>
      <c r="F6" s="23">
        <v>26.39</v>
      </c>
      <c r="G6" s="40">
        <f t="shared" ref="G6:G27" si="0">ROUND(E6*F6,2)</f>
        <v>59984.47</v>
      </c>
      <c r="H6" s="57"/>
      <c r="I6" s="57"/>
      <c r="J6" s="57"/>
      <c r="K6" s="57"/>
      <c r="L6" s="57"/>
      <c r="M6" s="57"/>
      <c r="N6" s="57"/>
      <c r="O6" s="57"/>
      <c r="P6" s="57"/>
    </row>
    <row r="7" s="56" customFormat="1" ht="36" spans="1:16">
      <c r="A7" s="20">
        <v>2</v>
      </c>
      <c r="B7" s="25" t="s">
        <v>16</v>
      </c>
      <c r="C7" s="22" t="s">
        <v>17</v>
      </c>
      <c r="D7" s="25" t="s">
        <v>18</v>
      </c>
      <c r="E7" s="23">
        <f>13017+7297</f>
        <v>20314</v>
      </c>
      <c r="F7" s="18">
        <v>1.24</v>
      </c>
      <c r="G7" s="40">
        <f t="shared" si="0"/>
        <v>25189.36</v>
      </c>
      <c r="H7" s="57"/>
      <c r="I7" s="57"/>
      <c r="J7" s="57"/>
      <c r="K7" s="57"/>
      <c r="L7" s="57"/>
      <c r="M7" s="57"/>
      <c r="N7" s="57"/>
      <c r="O7" s="57"/>
      <c r="P7" s="57"/>
    </row>
    <row r="8" s="56" customFormat="1" ht="48" spans="1:16">
      <c r="A8" s="20">
        <v>3</v>
      </c>
      <c r="B8" s="21" t="s">
        <v>19</v>
      </c>
      <c r="C8" s="17" t="s">
        <v>20</v>
      </c>
      <c r="D8" s="21" t="s">
        <v>21</v>
      </c>
      <c r="E8" s="18">
        <f>12813.95+5073.31</f>
        <v>17887.26</v>
      </c>
      <c r="F8" s="18">
        <v>3.94</v>
      </c>
      <c r="G8" s="40">
        <f t="shared" si="0"/>
        <v>70475.8</v>
      </c>
      <c r="H8" s="57"/>
      <c r="I8" s="57"/>
      <c r="J8" s="57"/>
      <c r="K8" s="57"/>
      <c r="L8" s="57"/>
      <c r="M8" s="57"/>
      <c r="N8" s="57"/>
      <c r="O8" s="57"/>
      <c r="P8" s="57"/>
    </row>
    <row r="9" s="56" customFormat="1" ht="60" spans="1:16">
      <c r="A9" s="20">
        <v>4</v>
      </c>
      <c r="B9" s="71" t="s">
        <v>22</v>
      </c>
      <c r="C9" s="72" t="s">
        <v>20</v>
      </c>
      <c r="D9" s="21" t="s">
        <v>23</v>
      </c>
      <c r="E9" s="73">
        <f>52174.45+20210.8</f>
        <v>72385.25</v>
      </c>
      <c r="F9" s="18">
        <v>10.61</v>
      </c>
      <c r="G9" s="40">
        <f t="shared" si="0"/>
        <v>768007.5</v>
      </c>
      <c r="H9" s="57"/>
      <c r="I9" s="57"/>
      <c r="J9" s="57"/>
      <c r="K9" s="57"/>
      <c r="L9" s="57"/>
      <c r="M9" s="57"/>
      <c r="N9" s="57"/>
      <c r="O9" s="57"/>
      <c r="P9" s="57"/>
    </row>
    <row r="10" s="56" customFormat="1" ht="60" spans="1:16">
      <c r="A10" s="20">
        <v>5</v>
      </c>
      <c r="B10" s="21" t="s">
        <v>24</v>
      </c>
      <c r="C10" s="17" t="s">
        <v>20</v>
      </c>
      <c r="D10" s="21" t="s">
        <v>23</v>
      </c>
      <c r="E10" s="18">
        <f>39285.35+15039.06</f>
        <v>54324.41</v>
      </c>
      <c r="F10" s="18">
        <v>15.59</v>
      </c>
      <c r="G10" s="40">
        <f t="shared" si="0"/>
        <v>846917.55</v>
      </c>
      <c r="H10" s="57"/>
      <c r="I10" s="57"/>
      <c r="J10" s="57"/>
      <c r="K10" s="57"/>
      <c r="L10" s="57"/>
      <c r="M10" s="57"/>
      <c r="N10" s="57"/>
      <c r="O10" s="57"/>
      <c r="P10" s="57"/>
    </row>
    <row r="11" s="56" customFormat="1" ht="36" spans="1:16">
      <c r="A11" s="20">
        <v>6</v>
      </c>
      <c r="B11" s="21" t="s">
        <v>25</v>
      </c>
      <c r="C11" s="72" t="s">
        <v>20</v>
      </c>
      <c r="D11" s="71" t="s">
        <v>26</v>
      </c>
      <c r="E11" s="18">
        <f>E8+E9+E10-E13-E14-E15</f>
        <v>135557.29</v>
      </c>
      <c r="F11" s="18">
        <v>6.85</v>
      </c>
      <c r="G11" s="40">
        <f t="shared" si="0"/>
        <v>928567.44</v>
      </c>
      <c r="H11" s="57"/>
      <c r="I11" s="57"/>
      <c r="J11" s="57"/>
      <c r="K11" s="57"/>
      <c r="L11" s="57"/>
      <c r="M11" s="57"/>
      <c r="N11" s="57"/>
      <c r="O11" s="57"/>
      <c r="P11" s="57"/>
    </row>
    <row r="12" s="56" customFormat="1" ht="36" spans="1:16">
      <c r="A12" s="20">
        <v>7</v>
      </c>
      <c r="B12" s="21" t="s">
        <v>27</v>
      </c>
      <c r="C12" s="17" t="s">
        <v>20</v>
      </c>
      <c r="D12" s="71" t="s">
        <v>26</v>
      </c>
      <c r="E12" s="18">
        <f>E11</f>
        <v>135557.29</v>
      </c>
      <c r="F12" s="18">
        <v>1.26</v>
      </c>
      <c r="G12" s="40">
        <f t="shared" si="0"/>
        <v>170802.19</v>
      </c>
      <c r="H12" s="57"/>
      <c r="I12" s="57"/>
      <c r="J12" s="57"/>
      <c r="K12" s="57"/>
      <c r="L12" s="57"/>
      <c r="M12" s="57"/>
      <c r="N12" s="57"/>
      <c r="O12" s="57"/>
      <c r="P12" s="57"/>
    </row>
    <row r="13" s="56" customFormat="1" ht="48" spans="1:16">
      <c r="A13" s="20">
        <v>8</v>
      </c>
      <c r="B13" s="21" t="s">
        <v>28</v>
      </c>
      <c r="C13" s="17" t="s">
        <v>20</v>
      </c>
      <c r="D13" s="21" t="s">
        <v>29</v>
      </c>
      <c r="E13" s="23">
        <f>1363.36+912.55</f>
        <v>2275.91</v>
      </c>
      <c r="F13" s="18">
        <v>2.94</v>
      </c>
      <c r="G13" s="40">
        <f t="shared" si="0"/>
        <v>6691.18</v>
      </c>
      <c r="H13" s="57"/>
      <c r="I13" s="57"/>
      <c r="J13" s="57"/>
      <c r="K13" s="57"/>
      <c r="L13" s="57"/>
      <c r="M13" s="57"/>
      <c r="N13" s="57"/>
      <c r="O13" s="57"/>
      <c r="P13" s="57"/>
    </row>
    <row r="14" s="56" customFormat="1" ht="48" spans="1:16">
      <c r="A14" s="20">
        <v>9</v>
      </c>
      <c r="B14" s="21" t="s">
        <v>30</v>
      </c>
      <c r="C14" s="17" t="s">
        <v>20</v>
      </c>
      <c r="D14" s="21" t="s">
        <v>29</v>
      </c>
      <c r="E14" s="23">
        <f>471.86+1578.12</f>
        <v>2049.98</v>
      </c>
      <c r="F14" s="18">
        <v>4.53</v>
      </c>
      <c r="G14" s="40">
        <f t="shared" si="0"/>
        <v>9286.41</v>
      </c>
      <c r="H14" s="57"/>
      <c r="I14" s="57"/>
      <c r="J14" s="57"/>
      <c r="K14" s="57"/>
      <c r="L14" s="57"/>
      <c r="M14" s="57"/>
      <c r="N14" s="57"/>
      <c r="O14" s="57"/>
      <c r="P14" s="57"/>
    </row>
    <row r="15" s="56" customFormat="1" ht="36" spans="1:16">
      <c r="A15" s="20">
        <v>10</v>
      </c>
      <c r="B15" s="21" t="s">
        <v>31</v>
      </c>
      <c r="C15" s="17" t="s">
        <v>20</v>
      </c>
      <c r="D15" s="71" t="s">
        <v>26</v>
      </c>
      <c r="E15" s="23">
        <v>4713.74</v>
      </c>
      <c r="F15" s="18">
        <v>25</v>
      </c>
      <c r="G15" s="40">
        <f t="shared" si="0"/>
        <v>117843.5</v>
      </c>
      <c r="H15" s="57"/>
      <c r="I15" s="57"/>
      <c r="J15" s="57"/>
      <c r="K15" s="57"/>
      <c r="L15" s="57"/>
      <c r="M15" s="57"/>
      <c r="N15" s="57"/>
      <c r="O15" s="57"/>
      <c r="P15" s="57"/>
    </row>
    <row r="16" s="56" customFormat="1" ht="48" spans="1:16">
      <c r="A16" s="20">
        <v>11</v>
      </c>
      <c r="B16" s="25" t="s">
        <v>32</v>
      </c>
      <c r="C16" s="22" t="s">
        <v>20</v>
      </c>
      <c r="D16" s="21" t="s">
        <v>33</v>
      </c>
      <c r="E16" s="23">
        <f>450+289.1</f>
        <v>739.1</v>
      </c>
      <c r="F16" s="18">
        <v>9.71</v>
      </c>
      <c r="G16" s="40">
        <f t="shared" si="0"/>
        <v>7176.66</v>
      </c>
      <c r="H16" s="57"/>
      <c r="I16" s="57"/>
      <c r="J16" s="57"/>
      <c r="K16" s="57"/>
      <c r="L16" s="57"/>
      <c r="M16" s="57"/>
      <c r="N16" s="57"/>
      <c r="O16" s="57"/>
      <c r="P16" s="57"/>
    </row>
    <row r="17" s="56" customFormat="1" ht="36" spans="1:16">
      <c r="A17" s="20">
        <v>12</v>
      </c>
      <c r="B17" s="21" t="s">
        <v>79</v>
      </c>
      <c r="C17" s="17" t="s">
        <v>17</v>
      </c>
      <c r="D17" s="21" t="s">
        <v>80</v>
      </c>
      <c r="E17" s="18">
        <v>720</v>
      </c>
      <c r="F17" s="18">
        <v>14.16</v>
      </c>
      <c r="G17" s="40">
        <f t="shared" si="0"/>
        <v>10195.2</v>
      </c>
      <c r="H17" s="57"/>
      <c r="I17" s="57"/>
      <c r="J17" s="58"/>
      <c r="K17" s="57"/>
      <c r="L17" s="57"/>
      <c r="M17" s="57"/>
      <c r="N17" s="57"/>
      <c r="O17" s="57"/>
      <c r="P17" s="57"/>
    </row>
    <row r="18" s="56" customFormat="1" ht="60" spans="1:16">
      <c r="A18" s="20">
        <v>13</v>
      </c>
      <c r="B18" s="25" t="s">
        <v>34</v>
      </c>
      <c r="C18" s="22" t="s">
        <v>20</v>
      </c>
      <c r="D18" s="21" t="s">
        <v>35</v>
      </c>
      <c r="E18" s="23">
        <f>259.65+75.3</f>
        <v>334.95</v>
      </c>
      <c r="F18" s="18">
        <v>128.83</v>
      </c>
      <c r="G18" s="40">
        <f t="shared" si="0"/>
        <v>43151.61</v>
      </c>
      <c r="H18" s="57"/>
      <c r="I18" s="57"/>
      <c r="J18" s="57"/>
      <c r="K18" s="57"/>
      <c r="L18" s="57"/>
      <c r="M18" s="57"/>
      <c r="N18" s="57"/>
      <c r="O18" s="57"/>
      <c r="P18" s="57"/>
    </row>
    <row r="19" s="56" customFormat="1" ht="60" spans="1:16">
      <c r="A19" s="20">
        <v>14</v>
      </c>
      <c r="B19" s="25" t="s">
        <v>36</v>
      </c>
      <c r="C19" s="22" t="s">
        <v>20</v>
      </c>
      <c r="D19" s="21" t="s">
        <v>37</v>
      </c>
      <c r="E19" s="23">
        <f>132.51+103.96</f>
        <v>236.47</v>
      </c>
      <c r="F19" s="18">
        <v>125.35</v>
      </c>
      <c r="G19" s="40">
        <f t="shared" si="0"/>
        <v>29641.51</v>
      </c>
      <c r="H19" s="57"/>
      <c r="I19" s="57"/>
      <c r="J19" s="57"/>
      <c r="K19" s="57"/>
      <c r="L19" s="57"/>
      <c r="M19" s="57"/>
      <c r="N19" s="57"/>
      <c r="O19" s="57"/>
      <c r="P19" s="57"/>
    </row>
    <row r="20" s="56" customFormat="1" ht="18" customHeight="1" spans="1:16">
      <c r="A20" s="74" t="s">
        <v>38</v>
      </c>
      <c r="B20" s="75"/>
      <c r="C20" s="75"/>
      <c r="D20" s="75"/>
      <c r="E20" s="75"/>
      <c r="F20" s="75"/>
      <c r="G20" s="76"/>
      <c r="H20" s="57"/>
      <c r="I20" s="57"/>
      <c r="J20" s="57"/>
      <c r="K20" s="57"/>
      <c r="L20" s="57"/>
      <c r="M20" s="57"/>
      <c r="N20" s="57"/>
      <c r="O20" s="57"/>
      <c r="P20" s="57"/>
    </row>
    <row r="21" s="56" customFormat="1" ht="50" customHeight="1" spans="1:16">
      <c r="A21" s="59" t="s">
        <v>92</v>
      </c>
      <c r="B21" s="59"/>
      <c r="C21" s="59"/>
      <c r="D21" s="59"/>
      <c r="E21" s="60"/>
      <c r="F21" s="60"/>
      <c r="G21" s="60"/>
      <c r="H21" s="57"/>
      <c r="I21" s="57"/>
      <c r="J21" s="57"/>
      <c r="K21" s="57"/>
      <c r="L21" s="57"/>
      <c r="M21" s="57"/>
      <c r="N21" s="57"/>
      <c r="O21" s="57"/>
      <c r="P21" s="57"/>
    </row>
    <row r="22" s="56" customFormat="1" ht="18" customHeight="1" spans="1:16">
      <c r="A22" s="59"/>
      <c r="B22" s="59"/>
      <c r="C22" s="59"/>
      <c r="D22" s="59"/>
      <c r="E22" s="60"/>
      <c r="F22" s="6" t="s">
        <v>1</v>
      </c>
      <c r="G22" s="6"/>
      <c r="H22" s="57"/>
      <c r="I22" s="57"/>
      <c r="J22" s="57"/>
      <c r="K22" s="57"/>
      <c r="L22" s="57"/>
      <c r="M22" s="57"/>
      <c r="N22" s="57"/>
      <c r="O22" s="57"/>
      <c r="P22" s="57"/>
    </row>
    <row r="23" s="56" customFormat="1" ht="18" customHeight="1" spans="1:16">
      <c r="A23" s="61" t="s">
        <v>2</v>
      </c>
      <c r="B23" s="62" t="s">
        <v>3</v>
      </c>
      <c r="C23" s="62" t="s">
        <v>4</v>
      </c>
      <c r="D23" s="62" t="s">
        <v>5</v>
      </c>
      <c r="E23" s="63" t="s">
        <v>6</v>
      </c>
      <c r="F23" s="63" t="s">
        <v>7</v>
      </c>
      <c r="G23" s="64" t="s">
        <v>8</v>
      </c>
      <c r="H23" s="57"/>
      <c r="I23" s="57"/>
      <c r="J23" s="57"/>
      <c r="K23" s="57"/>
      <c r="L23" s="57"/>
      <c r="M23" s="57"/>
      <c r="N23" s="57"/>
      <c r="O23" s="57"/>
      <c r="P23" s="57"/>
    </row>
    <row r="24" s="56" customFormat="1" ht="60" spans="1:16">
      <c r="A24" s="20">
        <v>15</v>
      </c>
      <c r="B24" s="25" t="s">
        <v>82</v>
      </c>
      <c r="C24" s="22" t="s">
        <v>20</v>
      </c>
      <c r="D24" s="21" t="s">
        <v>35</v>
      </c>
      <c r="E24" s="23">
        <v>3</v>
      </c>
      <c r="F24" s="18">
        <v>128.83</v>
      </c>
      <c r="G24" s="40">
        <f>ROUND(E24*F24,2)</f>
        <v>386.49</v>
      </c>
      <c r="H24" s="57"/>
      <c r="I24" s="57"/>
      <c r="J24" s="57"/>
      <c r="K24" s="57"/>
      <c r="L24" s="57"/>
      <c r="M24" s="57"/>
      <c r="N24" s="57"/>
      <c r="O24" s="57"/>
      <c r="P24" s="57"/>
    </row>
    <row r="25" s="56" customFormat="1" ht="60" spans="1:16">
      <c r="A25" s="20">
        <v>16</v>
      </c>
      <c r="B25" s="25" t="s">
        <v>83</v>
      </c>
      <c r="C25" s="22" t="s">
        <v>20</v>
      </c>
      <c r="D25" s="21" t="s">
        <v>37</v>
      </c>
      <c r="E25" s="23">
        <v>0.5</v>
      </c>
      <c r="F25" s="18">
        <v>125.35</v>
      </c>
      <c r="G25" s="40">
        <f>ROUND(E25*F25,2)</f>
        <v>62.68</v>
      </c>
      <c r="H25" s="57"/>
      <c r="I25" s="57"/>
      <c r="J25" s="57"/>
      <c r="K25" s="57"/>
      <c r="L25" s="57"/>
      <c r="M25" s="57"/>
      <c r="N25" s="57"/>
      <c r="O25" s="57"/>
      <c r="P25" s="57"/>
    </row>
    <row r="26" s="56" customFormat="1" ht="60" spans="1:16">
      <c r="A26" s="20">
        <v>17</v>
      </c>
      <c r="B26" s="25" t="s">
        <v>42</v>
      </c>
      <c r="C26" s="22" t="s">
        <v>20</v>
      </c>
      <c r="D26" s="21" t="s">
        <v>35</v>
      </c>
      <c r="E26" s="23">
        <f>2156.3+1623.3</f>
        <v>3779.6</v>
      </c>
      <c r="F26" s="18">
        <v>128.83</v>
      </c>
      <c r="G26" s="40">
        <f>ROUND(E26*F26,2)</f>
        <v>486925.87</v>
      </c>
      <c r="H26" s="57"/>
      <c r="I26" s="57"/>
      <c r="J26" s="57"/>
      <c r="K26" s="57"/>
      <c r="L26" s="57"/>
      <c r="M26" s="57"/>
      <c r="N26" s="57"/>
      <c r="O26" s="57"/>
      <c r="P26" s="57"/>
    </row>
    <row r="27" s="56" customFormat="1" ht="60" spans="1:16">
      <c r="A27" s="20">
        <v>18</v>
      </c>
      <c r="B27" s="25" t="s">
        <v>43</v>
      </c>
      <c r="C27" s="22" t="s">
        <v>20</v>
      </c>
      <c r="D27" s="21" t="s">
        <v>44</v>
      </c>
      <c r="E27" s="23">
        <f>765.5+86.2</f>
        <v>851.7</v>
      </c>
      <c r="F27" s="18">
        <v>109.8</v>
      </c>
      <c r="G27" s="40">
        <f>ROUND(E27*F27,2)</f>
        <v>93516.66</v>
      </c>
      <c r="H27" s="57"/>
      <c r="I27" s="57"/>
      <c r="J27" s="57"/>
      <c r="K27" s="57"/>
      <c r="L27" s="57"/>
      <c r="M27" s="57"/>
      <c r="N27" s="57"/>
      <c r="O27" s="57"/>
      <c r="P27" s="57"/>
    </row>
    <row r="28" s="56" customFormat="1" ht="36" spans="1:16">
      <c r="A28" s="20">
        <v>19</v>
      </c>
      <c r="B28" s="25" t="s">
        <v>45</v>
      </c>
      <c r="C28" s="22" t="s">
        <v>40</v>
      </c>
      <c r="D28" s="71" t="s">
        <v>46</v>
      </c>
      <c r="E28" s="23">
        <f>485.8+612.5</f>
        <v>1098.3</v>
      </c>
      <c r="F28" s="18">
        <v>20.38</v>
      </c>
      <c r="G28" s="40">
        <f>ROUND(E28*F28,2)</f>
        <v>22383.35</v>
      </c>
      <c r="H28" s="57"/>
      <c r="I28" s="57"/>
      <c r="J28" s="57"/>
      <c r="K28" s="57"/>
      <c r="L28" s="57"/>
      <c r="M28" s="57"/>
      <c r="N28" s="57"/>
      <c r="O28" s="57"/>
      <c r="P28" s="57"/>
    </row>
    <row r="29" s="56" customFormat="1" ht="20" customHeight="1" spans="1:16">
      <c r="A29" s="15" t="s">
        <v>50</v>
      </c>
      <c r="B29" s="16" t="s">
        <v>51</v>
      </c>
      <c r="C29" s="17"/>
      <c r="D29" s="17"/>
      <c r="E29" s="18"/>
      <c r="F29" s="18"/>
      <c r="G29" s="19">
        <f>SUM(G30:G30)</f>
        <v>103504.8</v>
      </c>
      <c r="H29" s="57"/>
      <c r="I29" s="57"/>
      <c r="J29" s="57"/>
      <c r="K29" s="57"/>
      <c r="L29" s="57"/>
      <c r="M29" s="57"/>
      <c r="N29" s="57"/>
      <c r="O29" s="57"/>
      <c r="P29" s="57"/>
    </row>
    <row r="30" s="56" customFormat="1" ht="60" spans="1:16">
      <c r="A30" s="39">
        <v>1</v>
      </c>
      <c r="B30" s="25" t="s">
        <v>53</v>
      </c>
      <c r="C30" s="22" t="s">
        <v>20</v>
      </c>
      <c r="D30" s="21" t="s">
        <v>37</v>
      </c>
      <c r="E30" s="23">
        <f>840</f>
        <v>840</v>
      </c>
      <c r="F30" s="23">
        <v>123.22</v>
      </c>
      <c r="G30" s="24">
        <f>ROUND(E30*F30,2)</f>
        <v>103504.8</v>
      </c>
      <c r="H30" s="57"/>
      <c r="I30" s="57"/>
      <c r="J30" s="57"/>
      <c r="K30" s="57"/>
      <c r="L30" s="57"/>
      <c r="M30" s="57"/>
      <c r="N30" s="57"/>
      <c r="O30" s="57"/>
      <c r="P30" s="57"/>
    </row>
    <row r="31" s="56" customFormat="1" ht="20" customHeight="1" spans="1:16">
      <c r="A31" s="15" t="s">
        <v>54</v>
      </c>
      <c r="B31" s="16" t="s">
        <v>55</v>
      </c>
      <c r="C31" s="17"/>
      <c r="D31" s="17"/>
      <c r="E31" s="18"/>
      <c r="F31" s="18"/>
      <c r="G31" s="19">
        <f>SUM(G32:G33)</f>
        <v>49274.32</v>
      </c>
      <c r="H31" s="57"/>
      <c r="I31" s="57"/>
      <c r="J31" s="57"/>
      <c r="K31" s="57"/>
      <c r="L31" s="57"/>
      <c r="M31" s="57"/>
      <c r="N31" s="57"/>
      <c r="O31" s="57"/>
      <c r="P31" s="57"/>
    </row>
    <row r="32" s="56" customFormat="1" ht="60" spans="1:16">
      <c r="A32" s="20">
        <v>1</v>
      </c>
      <c r="B32" s="25" t="s">
        <v>56</v>
      </c>
      <c r="C32" s="22" t="s">
        <v>40</v>
      </c>
      <c r="D32" s="25" t="s">
        <v>41</v>
      </c>
      <c r="E32" s="23">
        <f>8.5+12.5</f>
        <v>21</v>
      </c>
      <c r="F32" s="18">
        <v>1455.92</v>
      </c>
      <c r="G32" s="24">
        <f>ROUND(E32*F32,2)</f>
        <v>30574.32</v>
      </c>
      <c r="H32" s="57"/>
      <c r="I32" s="57"/>
      <c r="J32" s="57"/>
      <c r="K32" s="57"/>
      <c r="L32" s="57"/>
      <c r="M32" s="57"/>
      <c r="N32" s="57"/>
      <c r="O32" s="57"/>
      <c r="P32" s="57"/>
    </row>
    <row r="33" s="56" customFormat="1" ht="72" spans="1:16">
      <c r="A33" s="20">
        <v>2</v>
      </c>
      <c r="B33" s="25" t="s">
        <v>57</v>
      </c>
      <c r="C33" s="22" t="s">
        <v>40</v>
      </c>
      <c r="D33" s="25" t="s">
        <v>58</v>
      </c>
      <c r="E33" s="23">
        <v>11</v>
      </c>
      <c r="F33" s="18">
        <v>1700</v>
      </c>
      <c r="G33" s="24">
        <f>ROUND(E33*F33,2)</f>
        <v>18700</v>
      </c>
      <c r="H33" s="57"/>
      <c r="I33" s="57"/>
      <c r="J33" s="57"/>
      <c r="K33" s="57"/>
      <c r="L33" s="57"/>
      <c r="M33" s="57"/>
      <c r="N33" s="57"/>
      <c r="O33" s="57"/>
      <c r="P33" s="57"/>
    </row>
    <row r="34" s="56" customFormat="1" ht="20" customHeight="1" spans="1:16">
      <c r="A34" s="15" t="s">
        <v>59</v>
      </c>
      <c r="B34" s="16" t="s">
        <v>60</v>
      </c>
      <c r="C34" s="22"/>
      <c r="D34" s="22"/>
      <c r="E34" s="23"/>
      <c r="F34" s="23"/>
      <c r="G34" s="31">
        <f>SUM(G35:G43)</f>
        <v>3677.15</v>
      </c>
      <c r="H34" s="57"/>
      <c r="I34" s="57"/>
      <c r="J34" s="57"/>
      <c r="K34" s="57"/>
      <c r="L34" s="57"/>
      <c r="M34" s="57"/>
      <c r="N34" s="57"/>
      <c r="O34" s="57"/>
      <c r="P34" s="57"/>
    </row>
    <row r="35" s="56" customFormat="1" ht="48" spans="1:16">
      <c r="A35" s="39">
        <v>1</v>
      </c>
      <c r="B35" s="21" t="s">
        <v>19</v>
      </c>
      <c r="C35" s="17" t="s">
        <v>20</v>
      </c>
      <c r="D35" s="21" t="s">
        <v>21</v>
      </c>
      <c r="E35" s="23">
        <v>25</v>
      </c>
      <c r="F35" s="18">
        <v>3.94</v>
      </c>
      <c r="G35" s="24">
        <f>ROUND(E35*F35,2)</f>
        <v>98.5</v>
      </c>
      <c r="H35" s="57"/>
      <c r="I35" s="57"/>
      <c r="J35" s="57"/>
      <c r="K35" s="57"/>
      <c r="L35" s="57"/>
      <c r="M35" s="57"/>
      <c r="N35" s="57"/>
      <c r="O35" s="57"/>
      <c r="P35" s="57"/>
    </row>
    <row r="36" s="56" customFormat="1" ht="60" spans="1:16">
      <c r="A36" s="39">
        <v>2</v>
      </c>
      <c r="B36" s="21" t="s">
        <v>24</v>
      </c>
      <c r="C36" s="17" t="s">
        <v>20</v>
      </c>
      <c r="D36" s="21" t="s">
        <v>23</v>
      </c>
      <c r="E36" s="23">
        <v>57</v>
      </c>
      <c r="F36" s="18">
        <v>15.59</v>
      </c>
      <c r="G36" s="24">
        <f>ROUND(E36*F36,2)</f>
        <v>888.63</v>
      </c>
      <c r="H36" s="57"/>
      <c r="I36" s="57"/>
      <c r="J36" s="57"/>
      <c r="K36" s="57"/>
      <c r="L36" s="57"/>
      <c r="M36" s="57"/>
      <c r="N36" s="57"/>
      <c r="O36" s="57"/>
      <c r="P36" s="57"/>
    </row>
    <row r="37" s="56" customFormat="1" ht="36" spans="1:16">
      <c r="A37" s="39">
        <v>3</v>
      </c>
      <c r="B37" s="21" t="s">
        <v>25</v>
      </c>
      <c r="C37" s="72" t="s">
        <v>20</v>
      </c>
      <c r="D37" s="71" t="s">
        <v>26</v>
      </c>
      <c r="E37" s="23">
        <f>E35+E36</f>
        <v>82</v>
      </c>
      <c r="F37" s="18">
        <v>6.85</v>
      </c>
      <c r="G37" s="24">
        <f>ROUND(E37*F37,2)</f>
        <v>561.7</v>
      </c>
      <c r="H37" s="57"/>
      <c r="I37" s="57"/>
      <c r="J37" s="57"/>
      <c r="K37" s="57"/>
      <c r="L37" s="57"/>
      <c r="M37" s="57"/>
      <c r="N37" s="57"/>
      <c r="O37" s="57"/>
      <c r="P37" s="57"/>
    </row>
    <row r="38" s="56" customFormat="1" ht="20" customHeight="1" spans="1:16">
      <c r="A38" s="74" t="s">
        <v>61</v>
      </c>
      <c r="B38" s="75"/>
      <c r="C38" s="75"/>
      <c r="D38" s="75"/>
      <c r="E38" s="75"/>
      <c r="F38" s="75"/>
      <c r="G38" s="76"/>
      <c r="H38" s="57"/>
      <c r="I38" s="57"/>
      <c r="J38" s="57"/>
      <c r="K38" s="57"/>
      <c r="L38" s="57"/>
      <c r="M38" s="57"/>
      <c r="N38" s="57"/>
      <c r="O38" s="57"/>
      <c r="P38" s="57"/>
    </row>
    <row r="39" s="56" customFormat="1" ht="54" customHeight="1" spans="1:16">
      <c r="A39" s="59" t="s">
        <v>92</v>
      </c>
      <c r="B39" s="59"/>
      <c r="C39" s="59"/>
      <c r="D39" s="59"/>
      <c r="E39" s="60"/>
      <c r="F39" s="60"/>
      <c r="G39" s="60"/>
      <c r="H39" s="57"/>
      <c r="I39" s="57"/>
      <c r="J39" s="57"/>
      <c r="K39" s="57"/>
      <c r="L39" s="57"/>
      <c r="M39" s="57"/>
      <c r="N39" s="57"/>
      <c r="O39" s="57"/>
      <c r="P39" s="57"/>
    </row>
    <row r="40" s="56" customFormat="1" ht="20" customHeight="1" spans="1:16">
      <c r="A40" s="59"/>
      <c r="B40" s="59"/>
      <c r="C40" s="59"/>
      <c r="D40" s="59"/>
      <c r="E40" s="60"/>
      <c r="F40" s="6" t="s">
        <v>1</v>
      </c>
      <c r="G40" s="6"/>
      <c r="H40" s="57"/>
      <c r="I40" s="57"/>
      <c r="J40" s="57"/>
      <c r="K40" s="57"/>
      <c r="L40" s="57"/>
      <c r="M40" s="57"/>
      <c r="N40" s="57"/>
      <c r="O40" s="57"/>
      <c r="P40" s="57"/>
    </row>
    <row r="41" s="56" customFormat="1" ht="20" customHeight="1" spans="1:16">
      <c r="A41" s="61" t="s">
        <v>2</v>
      </c>
      <c r="B41" s="62" t="s">
        <v>3</v>
      </c>
      <c r="C41" s="62" t="s">
        <v>4</v>
      </c>
      <c r="D41" s="62" t="s">
        <v>5</v>
      </c>
      <c r="E41" s="63" t="s">
        <v>6</v>
      </c>
      <c r="F41" s="63" t="s">
        <v>7</v>
      </c>
      <c r="G41" s="64" t="s">
        <v>8</v>
      </c>
      <c r="H41" s="57"/>
      <c r="I41" s="57"/>
      <c r="J41" s="57"/>
      <c r="K41" s="57"/>
      <c r="L41" s="57"/>
      <c r="M41" s="57"/>
      <c r="N41" s="57"/>
      <c r="O41" s="57"/>
      <c r="P41" s="57"/>
    </row>
    <row r="42" s="56" customFormat="1" ht="36" spans="1:16">
      <c r="A42" s="39">
        <v>4</v>
      </c>
      <c r="B42" s="21" t="s">
        <v>27</v>
      </c>
      <c r="C42" s="17" t="s">
        <v>20</v>
      </c>
      <c r="D42" s="71" t="s">
        <v>26</v>
      </c>
      <c r="E42" s="23">
        <f>E37</f>
        <v>82</v>
      </c>
      <c r="F42" s="18">
        <v>1.26</v>
      </c>
      <c r="G42" s="24">
        <f>ROUND(E42*F42,2)</f>
        <v>103.32</v>
      </c>
      <c r="H42" s="57"/>
      <c r="I42" s="57"/>
      <c r="J42" s="57"/>
      <c r="K42" s="57"/>
      <c r="L42" s="57"/>
      <c r="M42" s="57"/>
      <c r="N42" s="57"/>
      <c r="O42" s="57"/>
      <c r="P42" s="57"/>
    </row>
    <row r="43" s="56" customFormat="1" ht="60" spans="1:16">
      <c r="A43" s="39">
        <v>5</v>
      </c>
      <c r="B43" s="21" t="s">
        <v>62</v>
      </c>
      <c r="C43" s="17" t="s">
        <v>17</v>
      </c>
      <c r="D43" s="21" t="s">
        <v>37</v>
      </c>
      <c r="E43" s="23">
        <v>90</v>
      </c>
      <c r="F43" s="18">
        <v>22.5</v>
      </c>
      <c r="G43" s="24">
        <f>ROUND(E43*F43,2)</f>
        <v>2025</v>
      </c>
      <c r="H43" s="57"/>
      <c r="I43" s="57"/>
      <c r="J43" s="57"/>
      <c r="K43" s="57"/>
      <c r="L43" s="57"/>
      <c r="M43" s="57"/>
      <c r="N43" s="57"/>
      <c r="O43" s="57"/>
      <c r="P43" s="57"/>
    </row>
    <row r="44" s="56" customFormat="1" ht="30" customHeight="1" spans="1:16">
      <c r="A44" s="15" t="s">
        <v>63</v>
      </c>
      <c r="B44" s="16" t="s">
        <v>64</v>
      </c>
      <c r="C44" s="17"/>
      <c r="D44" s="17"/>
      <c r="E44" s="18"/>
      <c r="F44" s="23"/>
      <c r="G44" s="31">
        <f>SUM(G45:G46)</f>
        <v>19147.96</v>
      </c>
      <c r="H44" s="57"/>
      <c r="I44" s="57"/>
      <c r="J44" s="57"/>
      <c r="K44" s="57"/>
      <c r="L44" s="57"/>
      <c r="M44" s="57"/>
      <c r="N44" s="57"/>
      <c r="O44" s="57"/>
      <c r="P44" s="57"/>
    </row>
    <row r="45" s="56" customFormat="1" ht="60" spans="1:16">
      <c r="A45" s="39">
        <v>1</v>
      </c>
      <c r="B45" s="25" t="s">
        <v>93</v>
      </c>
      <c r="C45" s="22" t="s">
        <v>20</v>
      </c>
      <c r="D45" s="21" t="s">
        <v>85</v>
      </c>
      <c r="E45" s="23">
        <v>20.79</v>
      </c>
      <c r="F45" s="23">
        <v>486.33</v>
      </c>
      <c r="G45" s="24">
        <f>ROUND(E45*F45,2)</f>
        <v>10110.8</v>
      </c>
      <c r="H45" s="57"/>
      <c r="I45" s="57"/>
      <c r="J45" s="57"/>
      <c r="K45" s="57"/>
      <c r="L45" s="57"/>
      <c r="M45" s="57"/>
      <c r="N45" s="57"/>
      <c r="O45" s="57"/>
      <c r="P45" s="57"/>
    </row>
    <row r="46" s="56" customFormat="1" ht="36" spans="1:16">
      <c r="A46" s="39">
        <v>2</v>
      </c>
      <c r="B46" s="25" t="s">
        <v>65</v>
      </c>
      <c r="C46" s="22" t="s">
        <v>40</v>
      </c>
      <c r="D46" s="21" t="s">
        <v>66</v>
      </c>
      <c r="E46" s="23">
        <f>517*2</f>
        <v>1034</v>
      </c>
      <c r="F46" s="18">
        <v>8.74</v>
      </c>
      <c r="G46" s="24">
        <f>ROUND(E46*F46,2)</f>
        <v>9037.16</v>
      </c>
      <c r="H46" s="57"/>
      <c r="I46" s="57"/>
      <c r="J46" s="57"/>
      <c r="K46" s="57"/>
      <c r="L46" s="57"/>
      <c r="M46" s="57"/>
      <c r="N46" s="57"/>
      <c r="O46" s="57"/>
      <c r="P46" s="57"/>
    </row>
    <row r="47" s="56" customFormat="1" ht="20" customHeight="1" spans="1:16">
      <c r="A47" s="15" t="s">
        <v>67</v>
      </c>
      <c r="B47" s="26" t="s">
        <v>68</v>
      </c>
      <c r="C47" s="27" t="s">
        <v>69</v>
      </c>
      <c r="D47" s="27"/>
      <c r="E47" s="18">
        <v>0.5</v>
      </c>
      <c r="F47" s="18">
        <f>G4</f>
        <v>3872809.66</v>
      </c>
      <c r="G47" s="19">
        <f>ROUND(E47*F47/100,2)</f>
        <v>19364.05</v>
      </c>
      <c r="H47" s="57"/>
      <c r="I47" s="57"/>
      <c r="J47" s="57"/>
      <c r="K47" s="57"/>
      <c r="L47" s="57"/>
      <c r="M47" s="57"/>
      <c r="N47" s="57"/>
      <c r="O47" s="57"/>
      <c r="P47" s="57"/>
    </row>
    <row r="48" s="56" customFormat="1" ht="20" customHeight="1" spans="1:16">
      <c r="A48" s="15" t="s">
        <v>70</v>
      </c>
      <c r="B48" s="26" t="s">
        <v>71</v>
      </c>
      <c r="C48" s="17" t="s">
        <v>72</v>
      </c>
      <c r="D48" s="17"/>
      <c r="E48" s="18">
        <v>1</v>
      </c>
      <c r="F48" s="18">
        <v>30000</v>
      </c>
      <c r="G48" s="19">
        <f>ROUND(E48*F48,2)</f>
        <v>30000</v>
      </c>
      <c r="H48" s="57"/>
      <c r="I48" s="57"/>
      <c r="J48" s="57"/>
      <c r="K48" s="57"/>
      <c r="L48" s="57"/>
      <c r="M48" s="57"/>
      <c r="N48" s="57"/>
      <c r="O48" s="57"/>
      <c r="P48" s="57"/>
    </row>
    <row r="49" s="56" customFormat="1" ht="20" customHeight="1" spans="1:16">
      <c r="A49" s="15" t="s">
        <v>73</v>
      </c>
      <c r="B49" s="69" t="s">
        <v>74</v>
      </c>
      <c r="C49" s="27" t="s">
        <v>69</v>
      </c>
      <c r="D49" s="27"/>
      <c r="E49" s="18">
        <v>9</v>
      </c>
      <c r="F49" s="18">
        <f>G4+G47+G48</f>
        <v>3922173.71</v>
      </c>
      <c r="G49" s="19">
        <f>ROUND(E49*F49/100,2)</f>
        <v>352995.63</v>
      </c>
      <c r="H49" s="57"/>
      <c r="I49" s="57"/>
      <c r="J49" s="57"/>
      <c r="K49" s="57"/>
      <c r="L49" s="57"/>
      <c r="M49" s="57"/>
      <c r="N49" s="57"/>
      <c r="O49" s="57"/>
      <c r="P49" s="57"/>
    </row>
    <row r="50" s="56" customFormat="1" ht="20" customHeight="1" spans="1:16">
      <c r="A50" s="20"/>
      <c r="B50" s="69" t="s">
        <v>75</v>
      </c>
      <c r="C50" s="17"/>
      <c r="D50" s="17"/>
      <c r="E50" s="18"/>
      <c r="F50" s="18"/>
      <c r="G50" s="19">
        <f>G4+G47+G48+G49</f>
        <v>4275169.34</v>
      </c>
      <c r="H50" s="57"/>
      <c r="I50" s="57"/>
      <c r="J50" s="57"/>
      <c r="K50" s="57"/>
      <c r="L50" s="57"/>
      <c r="M50" s="57"/>
      <c r="N50" s="57"/>
      <c r="O50" s="57"/>
      <c r="P50" s="57"/>
    </row>
    <row r="51" s="56" customFormat="1" ht="20" customHeight="1" spans="1:16">
      <c r="A51" s="20"/>
      <c r="B51" s="17"/>
      <c r="C51" s="17"/>
      <c r="D51" s="17"/>
      <c r="E51" s="18"/>
      <c r="F51" s="18"/>
      <c r="G51" s="40"/>
      <c r="H51" s="57"/>
      <c r="I51" s="57"/>
      <c r="J51" s="57"/>
      <c r="K51" s="57"/>
      <c r="L51" s="57"/>
      <c r="M51" s="57"/>
      <c r="N51" s="57"/>
      <c r="O51" s="57"/>
      <c r="P51" s="57"/>
    </row>
    <row r="52" s="56" customFormat="1" ht="20" customHeight="1" spans="1:16">
      <c r="A52" s="20"/>
      <c r="B52" s="17"/>
      <c r="C52" s="17"/>
      <c r="D52" s="17"/>
      <c r="E52" s="18"/>
      <c r="F52" s="18"/>
      <c r="G52" s="40"/>
      <c r="H52" s="57"/>
      <c r="I52" s="57"/>
      <c r="J52" s="57"/>
      <c r="K52" s="57"/>
      <c r="L52" s="57"/>
      <c r="M52" s="57"/>
      <c r="N52" s="57"/>
      <c r="O52" s="57"/>
      <c r="P52" s="57"/>
    </row>
    <row r="53" s="56" customFormat="1" ht="20" customHeight="1" spans="1:16">
      <c r="A53" s="20"/>
      <c r="B53" s="17"/>
      <c r="C53" s="17"/>
      <c r="D53" s="17"/>
      <c r="E53" s="18"/>
      <c r="F53" s="18"/>
      <c r="G53" s="40"/>
      <c r="H53" s="57"/>
      <c r="I53" s="57"/>
      <c r="J53" s="57"/>
      <c r="K53" s="57"/>
      <c r="L53" s="57"/>
      <c r="M53" s="57"/>
      <c r="N53" s="57"/>
      <c r="O53" s="57"/>
      <c r="P53" s="57"/>
    </row>
    <row r="54" s="56" customFormat="1" ht="20" customHeight="1" spans="1:16">
      <c r="A54" s="20"/>
      <c r="B54" s="17"/>
      <c r="C54" s="17"/>
      <c r="D54" s="17"/>
      <c r="E54" s="18"/>
      <c r="F54" s="18"/>
      <c r="G54" s="40"/>
      <c r="H54" s="57"/>
      <c r="I54" s="57"/>
      <c r="J54" s="57"/>
      <c r="K54" s="57"/>
      <c r="L54" s="57"/>
      <c r="M54" s="57"/>
      <c r="N54" s="57"/>
      <c r="O54" s="57"/>
      <c r="P54" s="57"/>
    </row>
    <row r="55" s="56" customFormat="1" ht="20" customHeight="1" spans="1:16">
      <c r="A55" s="20"/>
      <c r="B55" s="17"/>
      <c r="C55" s="17"/>
      <c r="D55" s="17"/>
      <c r="E55" s="18"/>
      <c r="F55" s="18"/>
      <c r="G55" s="40"/>
      <c r="H55" s="57"/>
      <c r="I55" s="57"/>
      <c r="J55" s="57"/>
      <c r="K55" s="57"/>
      <c r="L55" s="57"/>
      <c r="M55" s="57"/>
      <c r="N55" s="57"/>
      <c r="O55" s="57"/>
      <c r="P55" s="57"/>
    </row>
    <row r="56" s="56" customFormat="1" ht="20" customHeight="1" spans="1:16">
      <c r="A56" s="20"/>
      <c r="B56" s="17"/>
      <c r="C56" s="17"/>
      <c r="D56" s="17"/>
      <c r="E56" s="18"/>
      <c r="F56" s="18"/>
      <c r="G56" s="40"/>
      <c r="H56" s="57"/>
      <c r="I56" s="57"/>
      <c r="J56" s="57"/>
      <c r="K56" s="57"/>
      <c r="L56" s="57"/>
      <c r="M56" s="57"/>
      <c r="N56" s="57"/>
      <c r="O56" s="57"/>
      <c r="P56" s="57"/>
    </row>
    <row r="57" s="56" customFormat="1" ht="20" customHeight="1" spans="1:16">
      <c r="A57" s="20"/>
      <c r="B57" s="17"/>
      <c r="C57" s="17"/>
      <c r="D57" s="17"/>
      <c r="E57" s="18"/>
      <c r="F57" s="18"/>
      <c r="G57" s="40"/>
      <c r="H57" s="57"/>
      <c r="I57" s="57"/>
      <c r="J57" s="57"/>
      <c r="K57" s="57"/>
      <c r="L57" s="57"/>
      <c r="M57" s="57"/>
      <c r="N57" s="57"/>
      <c r="O57" s="57"/>
      <c r="P57" s="57"/>
    </row>
    <row r="58" s="56" customFormat="1" ht="20" customHeight="1" spans="1:16">
      <c r="A58" s="20"/>
      <c r="B58" s="17"/>
      <c r="C58" s="17"/>
      <c r="D58" s="17"/>
      <c r="E58" s="18"/>
      <c r="F58" s="18"/>
      <c r="G58" s="40"/>
      <c r="H58" s="57"/>
      <c r="I58" s="57"/>
      <c r="J58" s="57"/>
      <c r="K58" s="57"/>
      <c r="L58" s="57"/>
      <c r="M58" s="57"/>
      <c r="N58" s="57"/>
      <c r="O58" s="57"/>
      <c r="P58" s="57"/>
    </row>
    <row r="59" s="56" customFormat="1" ht="20" customHeight="1" spans="1:16">
      <c r="A59" s="20"/>
      <c r="B59" s="17"/>
      <c r="C59" s="17"/>
      <c r="D59" s="17"/>
      <c r="E59" s="18"/>
      <c r="F59" s="18"/>
      <c r="G59" s="40"/>
      <c r="H59" s="57"/>
      <c r="I59" s="57"/>
      <c r="J59" s="57"/>
      <c r="K59" s="57"/>
      <c r="L59" s="57"/>
      <c r="M59" s="57"/>
      <c r="N59" s="57"/>
      <c r="O59" s="57"/>
      <c r="P59" s="57"/>
    </row>
    <row r="60" s="56" customFormat="1" ht="20" customHeight="1" spans="1:16">
      <c r="A60" s="20"/>
      <c r="B60" s="17"/>
      <c r="C60" s="17"/>
      <c r="D60" s="17"/>
      <c r="E60" s="18"/>
      <c r="F60" s="18"/>
      <c r="G60" s="40"/>
      <c r="H60" s="57"/>
      <c r="I60" s="57"/>
      <c r="J60" s="57"/>
      <c r="K60" s="57"/>
      <c r="L60" s="57"/>
      <c r="M60" s="57"/>
      <c r="N60" s="57"/>
      <c r="O60" s="57"/>
      <c r="P60" s="57"/>
    </row>
    <row r="61" ht="20" customHeight="1" spans="1:7">
      <c r="A61" s="20"/>
      <c r="B61" s="17"/>
      <c r="C61" s="17"/>
      <c r="D61" s="17"/>
      <c r="E61" s="18"/>
      <c r="F61" s="18"/>
      <c r="G61" s="40"/>
    </row>
    <row r="62" ht="20" customHeight="1" spans="1:7">
      <c r="A62" s="20"/>
      <c r="B62" s="17"/>
      <c r="C62" s="17"/>
      <c r="D62" s="17"/>
      <c r="E62" s="18"/>
      <c r="F62" s="18"/>
      <c r="G62" s="40"/>
    </row>
    <row r="63" ht="20" customHeight="1" spans="1:7">
      <c r="A63" s="20"/>
      <c r="B63" s="17"/>
      <c r="C63" s="17"/>
      <c r="D63" s="17"/>
      <c r="E63" s="18"/>
      <c r="F63" s="18"/>
      <c r="G63" s="40"/>
    </row>
    <row r="64" ht="20" customHeight="1" spans="1:7">
      <c r="A64" s="20"/>
      <c r="B64" s="17"/>
      <c r="C64" s="17"/>
      <c r="D64" s="17"/>
      <c r="E64" s="18"/>
      <c r="F64" s="18"/>
      <c r="G64" s="40"/>
    </row>
    <row r="65" ht="20" customHeight="1" spans="1:7">
      <c r="A65" s="20"/>
      <c r="B65" s="17"/>
      <c r="C65" s="17"/>
      <c r="D65" s="17"/>
      <c r="E65" s="18"/>
      <c r="F65" s="18"/>
      <c r="G65" s="40"/>
    </row>
    <row r="66" ht="20" customHeight="1" spans="1:7">
      <c r="A66" s="20"/>
      <c r="B66" s="17"/>
      <c r="C66" s="17"/>
      <c r="D66" s="17"/>
      <c r="E66" s="18"/>
      <c r="F66" s="18"/>
      <c r="G66" s="40"/>
    </row>
    <row r="67" ht="20" customHeight="1" spans="1:7">
      <c r="A67" s="20"/>
      <c r="B67" s="17"/>
      <c r="C67" s="17"/>
      <c r="D67" s="17"/>
      <c r="E67" s="18"/>
      <c r="F67" s="18"/>
      <c r="G67" s="40"/>
    </row>
    <row r="68" ht="20" customHeight="1" spans="1:7">
      <c r="A68" s="74" t="s">
        <v>76</v>
      </c>
      <c r="B68" s="75"/>
      <c r="C68" s="75"/>
      <c r="D68" s="75"/>
      <c r="E68" s="75"/>
      <c r="F68" s="75"/>
      <c r="G68" s="76"/>
    </row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</sheetData>
  <mergeCells count="9">
    <mergeCell ref="A1:G1"/>
    <mergeCell ref="F2:G2"/>
    <mergeCell ref="A20:G20"/>
    <mergeCell ref="A21:G21"/>
    <mergeCell ref="F22:G22"/>
    <mergeCell ref="A38:G38"/>
    <mergeCell ref="A39:G39"/>
    <mergeCell ref="F40:G40"/>
    <mergeCell ref="A68:G68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5"/>
  <sheetViews>
    <sheetView topLeftCell="A56" workbookViewId="0">
      <selection activeCell="A56" sqref="A56:G56"/>
    </sheetView>
  </sheetViews>
  <sheetFormatPr defaultColWidth="9" defaultRowHeight="14"/>
  <cols>
    <col min="1" max="1" width="5.62727272727273" style="57" customWidth="1"/>
    <col min="2" max="2" width="22.6272727272727" style="57" customWidth="1"/>
    <col min="3" max="3" width="5.62727272727273" style="57" customWidth="1"/>
    <col min="4" max="4" width="20.6272727272727" style="57" customWidth="1"/>
    <col min="5" max="5" width="10.6272727272727" style="58" customWidth="1"/>
    <col min="6" max="6" width="12.6272727272727" style="58" customWidth="1"/>
    <col min="7" max="7" width="13.6272727272727" style="58" customWidth="1"/>
    <col min="8" max="16" width="9" style="57"/>
    <col min="17" max="16384" width="9" style="56"/>
  </cols>
  <sheetData>
    <row r="1" s="56" customFormat="1" ht="47" customHeight="1" spans="1:16">
      <c r="A1" s="59" t="s">
        <v>94</v>
      </c>
      <c r="B1" s="59"/>
      <c r="C1" s="59"/>
      <c r="D1" s="59"/>
      <c r="E1" s="60"/>
      <c r="F1" s="60"/>
      <c r="G1" s="60"/>
      <c r="H1" s="57"/>
      <c r="I1" s="57"/>
      <c r="J1" s="57"/>
      <c r="K1" s="57"/>
      <c r="L1" s="57"/>
      <c r="M1" s="57"/>
      <c r="N1" s="57"/>
      <c r="O1" s="57"/>
      <c r="P1" s="57"/>
    </row>
    <row r="2" s="56" customFormat="1" ht="20" customHeight="1" spans="1:16">
      <c r="A2" s="59"/>
      <c r="B2" s="59"/>
      <c r="C2" s="59"/>
      <c r="D2" s="59"/>
      <c r="E2" s="60"/>
      <c r="F2" s="6" t="s">
        <v>1</v>
      </c>
      <c r="G2" s="6"/>
      <c r="H2" s="57"/>
      <c r="I2" s="57"/>
      <c r="J2" s="57"/>
      <c r="K2" s="57"/>
      <c r="L2" s="57"/>
      <c r="M2" s="57"/>
      <c r="N2" s="57"/>
      <c r="O2" s="57"/>
      <c r="P2" s="57"/>
    </row>
    <row r="3" s="56" customFormat="1" ht="20" customHeight="1" spans="1:16">
      <c r="A3" s="61" t="s">
        <v>2</v>
      </c>
      <c r="B3" s="62" t="s">
        <v>3</v>
      </c>
      <c r="C3" s="62" t="s">
        <v>4</v>
      </c>
      <c r="D3" s="62" t="s">
        <v>5</v>
      </c>
      <c r="E3" s="63" t="s">
        <v>6</v>
      </c>
      <c r="F3" s="63" t="s">
        <v>7</v>
      </c>
      <c r="G3" s="64" t="s">
        <v>8</v>
      </c>
      <c r="H3" s="57"/>
      <c r="I3" s="57"/>
      <c r="J3" s="57"/>
      <c r="K3" s="57"/>
      <c r="L3" s="57"/>
      <c r="M3" s="57"/>
      <c r="N3" s="57"/>
      <c r="O3" s="57"/>
      <c r="P3" s="57"/>
    </row>
    <row r="4" s="56" customFormat="1" ht="20" customHeight="1" spans="1:16">
      <c r="A4" s="65" t="s">
        <v>9</v>
      </c>
      <c r="B4" s="66" t="s">
        <v>10</v>
      </c>
      <c r="C4" s="66"/>
      <c r="D4" s="66"/>
      <c r="E4" s="67"/>
      <c r="F4" s="67"/>
      <c r="G4" s="68">
        <f>G5+G29+G31+G34+G44+G46</f>
        <v>3250925.06</v>
      </c>
      <c r="H4" s="57"/>
      <c r="I4" s="57"/>
      <c r="J4" s="57"/>
      <c r="K4" s="57"/>
      <c r="L4" s="57"/>
      <c r="M4" s="57"/>
      <c r="N4" s="57"/>
      <c r="O4" s="57"/>
      <c r="P4" s="57"/>
    </row>
    <row r="5" s="56" customFormat="1" ht="20" customHeight="1" spans="1:16">
      <c r="A5" s="15" t="s">
        <v>11</v>
      </c>
      <c r="B5" s="16" t="s">
        <v>12</v>
      </c>
      <c r="C5" s="69"/>
      <c r="D5" s="69"/>
      <c r="E5" s="70"/>
      <c r="F5" s="18"/>
      <c r="G5" s="19">
        <f>SUM(G6:G28)</f>
        <v>2811779.31</v>
      </c>
      <c r="H5" s="57"/>
      <c r="I5" s="57"/>
      <c r="J5" s="57"/>
      <c r="K5" s="57"/>
      <c r="L5" s="57"/>
      <c r="M5" s="57"/>
      <c r="N5" s="57"/>
      <c r="O5" s="57"/>
      <c r="P5" s="57"/>
    </row>
    <row r="6" s="56" customFormat="1" ht="36" spans="1:16">
      <c r="A6" s="20">
        <v>1</v>
      </c>
      <c r="B6" s="25" t="s">
        <v>13</v>
      </c>
      <c r="C6" s="22" t="s">
        <v>14</v>
      </c>
      <c r="D6" s="25" t="s">
        <v>15</v>
      </c>
      <c r="E6" s="23">
        <f>2901+2924</f>
        <v>5825</v>
      </c>
      <c r="F6" s="23">
        <v>26.39</v>
      </c>
      <c r="G6" s="40">
        <f t="shared" ref="G6:G27" si="0">ROUND(E6*F6,2)</f>
        <v>153721.75</v>
      </c>
      <c r="H6" s="57"/>
      <c r="I6" s="57"/>
      <c r="J6" s="57"/>
      <c r="K6" s="57"/>
      <c r="L6" s="57"/>
      <c r="M6" s="57"/>
      <c r="N6" s="57"/>
      <c r="O6" s="57"/>
      <c r="P6" s="57"/>
    </row>
    <row r="7" s="56" customFormat="1" ht="36" spans="1:16">
      <c r="A7" s="20">
        <v>2</v>
      </c>
      <c r="B7" s="25" t="s">
        <v>16</v>
      </c>
      <c r="C7" s="22" t="s">
        <v>17</v>
      </c>
      <c r="D7" s="25" t="s">
        <v>18</v>
      </c>
      <c r="E7" s="23">
        <f>983+4510</f>
        <v>5493</v>
      </c>
      <c r="F7" s="18">
        <v>1.24</v>
      </c>
      <c r="G7" s="40">
        <f t="shared" si="0"/>
        <v>6811.32</v>
      </c>
      <c r="H7" s="57"/>
      <c r="I7" s="57"/>
      <c r="J7" s="57"/>
      <c r="K7" s="57"/>
      <c r="L7" s="57"/>
      <c r="M7" s="57"/>
      <c r="N7" s="57"/>
      <c r="O7" s="57"/>
      <c r="P7" s="57"/>
    </row>
    <row r="8" s="56" customFormat="1" ht="48" spans="1:16">
      <c r="A8" s="20">
        <v>3</v>
      </c>
      <c r="B8" s="21" t="s">
        <v>19</v>
      </c>
      <c r="C8" s="17" t="s">
        <v>20</v>
      </c>
      <c r="D8" s="21" t="s">
        <v>21</v>
      </c>
      <c r="E8" s="18">
        <f>7095.65+18617.62</f>
        <v>25713.27</v>
      </c>
      <c r="F8" s="18">
        <v>3.94</v>
      </c>
      <c r="G8" s="40">
        <f t="shared" si="0"/>
        <v>101310.28</v>
      </c>
      <c r="H8" s="57"/>
      <c r="I8" s="57"/>
      <c r="J8" s="57"/>
      <c r="K8" s="57"/>
      <c r="L8" s="57"/>
      <c r="M8" s="57"/>
      <c r="N8" s="57"/>
      <c r="O8" s="57"/>
      <c r="P8" s="57"/>
    </row>
    <row r="9" s="56" customFormat="1" ht="60" spans="1:16">
      <c r="A9" s="20">
        <v>4</v>
      </c>
      <c r="B9" s="71" t="s">
        <v>22</v>
      </c>
      <c r="C9" s="72" t="s">
        <v>20</v>
      </c>
      <c r="D9" s="21" t="s">
        <v>23</v>
      </c>
      <c r="E9" s="73">
        <f>24611.27+34415.88</f>
        <v>59027.15</v>
      </c>
      <c r="F9" s="18">
        <v>10.61</v>
      </c>
      <c r="G9" s="40">
        <f t="shared" si="0"/>
        <v>626278.06</v>
      </c>
      <c r="H9" s="57"/>
      <c r="I9" s="57"/>
      <c r="J9" s="57"/>
      <c r="K9" s="57"/>
      <c r="L9" s="57"/>
      <c r="M9" s="57"/>
      <c r="N9" s="57"/>
      <c r="O9" s="57"/>
      <c r="P9" s="57"/>
    </row>
    <row r="10" s="56" customFormat="1" ht="60" spans="1:16">
      <c r="A10" s="20">
        <v>5</v>
      </c>
      <c r="B10" s="21" t="s">
        <v>24</v>
      </c>
      <c r="C10" s="17" t="s">
        <v>20</v>
      </c>
      <c r="D10" s="21" t="s">
        <v>23</v>
      </c>
      <c r="E10" s="18">
        <f>17689.2+15798.25</f>
        <v>33487.45</v>
      </c>
      <c r="F10" s="18">
        <v>15.59</v>
      </c>
      <c r="G10" s="40">
        <f t="shared" si="0"/>
        <v>522069.35</v>
      </c>
      <c r="H10" s="57"/>
      <c r="I10" s="57"/>
      <c r="J10" s="57"/>
      <c r="K10" s="57"/>
      <c r="L10" s="57"/>
      <c r="M10" s="57"/>
      <c r="N10" s="57"/>
      <c r="O10" s="57"/>
      <c r="P10" s="57"/>
    </row>
    <row r="11" s="56" customFormat="1" ht="36" spans="1:16">
      <c r="A11" s="20">
        <v>6</v>
      </c>
      <c r="B11" s="21" t="s">
        <v>25</v>
      </c>
      <c r="C11" s="72" t="s">
        <v>20</v>
      </c>
      <c r="D11" s="71" t="s">
        <v>26</v>
      </c>
      <c r="E11" s="18">
        <f>E8+E9+E10-E13-E14-E15</f>
        <v>112808.26</v>
      </c>
      <c r="F11" s="18">
        <v>6.85</v>
      </c>
      <c r="G11" s="40">
        <f t="shared" si="0"/>
        <v>772736.58</v>
      </c>
      <c r="H11" s="57"/>
      <c r="I11" s="57"/>
      <c r="J11" s="57"/>
      <c r="K11" s="57"/>
      <c r="L11" s="57"/>
      <c r="M11" s="57"/>
      <c r="N11" s="57"/>
      <c r="O11" s="57"/>
      <c r="P11" s="57"/>
    </row>
    <row r="12" s="56" customFormat="1" ht="36" spans="1:16">
      <c r="A12" s="20">
        <v>7</v>
      </c>
      <c r="B12" s="21" t="s">
        <v>27</v>
      </c>
      <c r="C12" s="17" t="s">
        <v>20</v>
      </c>
      <c r="D12" s="71" t="s">
        <v>26</v>
      </c>
      <c r="E12" s="18">
        <f>E11</f>
        <v>112808.26</v>
      </c>
      <c r="F12" s="18">
        <v>1.26</v>
      </c>
      <c r="G12" s="40">
        <f t="shared" si="0"/>
        <v>142138.41</v>
      </c>
      <c r="H12" s="57"/>
      <c r="I12" s="57"/>
      <c r="J12" s="57"/>
      <c r="K12" s="57"/>
      <c r="L12" s="57"/>
      <c r="M12" s="57"/>
      <c r="N12" s="57"/>
      <c r="O12" s="57"/>
      <c r="P12" s="57"/>
    </row>
    <row r="13" s="56" customFormat="1" ht="48" spans="1:16">
      <c r="A13" s="20">
        <v>8</v>
      </c>
      <c r="B13" s="21" t="s">
        <v>28</v>
      </c>
      <c r="C13" s="17" t="s">
        <v>20</v>
      </c>
      <c r="D13" s="21" t="s">
        <v>29</v>
      </c>
      <c r="E13" s="23">
        <f>871.05+1002.5</f>
        <v>1873.55</v>
      </c>
      <c r="F13" s="18">
        <v>2.94</v>
      </c>
      <c r="G13" s="40">
        <f t="shared" si="0"/>
        <v>5508.24</v>
      </c>
      <c r="H13" s="57"/>
      <c r="I13" s="57"/>
      <c r="J13" s="57"/>
      <c r="K13" s="57"/>
      <c r="L13" s="57"/>
      <c r="M13" s="57"/>
      <c r="N13" s="57"/>
      <c r="O13" s="57"/>
      <c r="P13" s="57"/>
    </row>
    <row r="14" s="56" customFormat="1" ht="48" spans="1:16">
      <c r="A14" s="20">
        <v>9</v>
      </c>
      <c r="B14" s="21" t="s">
        <v>30</v>
      </c>
      <c r="C14" s="17" t="s">
        <v>20</v>
      </c>
      <c r="D14" s="21" t="s">
        <v>29</v>
      </c>
      <c r="E14" s="23">
        <f>412.29+468.69</f>
        <v>880.98</v>
      </c>
      <c r="F14" s="18">
        <v>4.53</v>
      </c>
      <c r="G14" s="40">
        <f t="shared" si="0"/>
        <v>3990.84</v>
      </c>
      <c r="H14" s="57"/>
      <c r="I14" s="57"/>
      <c r="J14" s="57"/>
      <c r="K14" s="57"/>
      <c r="L14" s="57"/>
      <c r="M14" s="57"/>
      <c r="N14" s="57"/>
      <c r="O14" s="57"/>
      <c r="P14" s="57"/>
    </row>
    <row r="15" s="56" customFormat="1" ht="36" spans="1:16">
      <c r="A15" s="20">
        <v>10</v>
      </c>
      <c r="B15" s="21" t="s">
        <v>31</v>
      </c>
      <c r="C15" s="17" t="s">
        <v>20</v>
      </c>
      <c r="D15" s="71" t="s">
        <v>26</v>
      </c>
      <c r="E15" s="23">
        <v>2665.08</v>
      </c>
      <c r="F15" s="18">
        <v>25</v>
      </c>
      <c r="G15" s="40">
        <f t="shared" si="0"/>
        <v>66627</v>
      </c>
      <c r="H15" s="57"/>
      <c r="I15" s="57"/>
      <c r="J15" s="57"/>
      <c r="K15" s="57"/>
      <c r="L15" s="57"/>
      <c r="M15" s="57"/>
      <c r="N15" s="57"/>
      <c r="O15" s="57"/>
      <c r="P15" s="57"/>
    </row>
    <row r="16" s="56" customFormat="1" ht="48" spans="1:16">
      <c r="A16" s="20">
        <v>11</v>
      </c>
      <c r="B16" s="25" t="s">
        <v>32</v>
      </c>
      <c r="C16" s="22" t="s">
        <v>20</v>
      </c>
      <c r="D16" s="21" t="s">
        <v>33</v>
      </c>
      <c r="E16" s="23">
        <f>160.6+254.8</f>
        <v>415.4</v>
      </c>
      <c r="F16" s="18">
        <v>9.71</v>
      </c>
      <c r="G16" s="40">
        <f t="shared" si="0"/>
        <v>4033.53</v>
      </c>
      <c r="H16" s="57"/>
      <c r="I16" s="57"/>
      <c r="J16" s="57"/>
      <c r="K16" s="57"/>
      <c r="L16" s="57"/>
      <c r="M16" s="57"/>
      <c r="N16" s="57"/>
      <c r="O16" s="57"/>
      <c r="P16" s="57"/>
    </row>
    <row r="17" s="56" customFormat="1" ht="60" spans="1:16">
      <c r="A17" s="20">
        <v>12</v>
      </c>
      <c r="B17" s="25" t="s">
        <v>34</v>
      </c>
      <c r="C17" s="22" t="s">
        <v>20</v>
      </c>
      <c r="D17" s="21" t="s">
        <v>35</v>
      </c>
      <c r="E17" s="23">
        <f>160.35+178.2</f>
        <v>338.55</v>
      </c>
      <c r="F17" s="18">
        <v>128.83</v>
      </c>
      <c r="G17" s="40">
        <f t="shared" si="0"/>
        <v>43615.4</v>
      </c>
      <c r="H17" s="57"/>
      <c r="I17" s="57"/>
      <c r="J17" s="57"/>
      <c r="K17" s="57"/>
      <c r="L17" s="57"/>
      <c r="M17" s="57"/>
      <c r="N17" s="57"/>
      <c r="O17" s="57"/>
      <c r="P17" s="57"/>
    </row>
    <row r="18" s="56" customFormat="1" ht="60" spans="1:16">
      <c r="A18" s="20">
        <v>13</v>
      </c>
      <c r="B18" s="25" t="s">
        <v>36</v>
      </c>
      <c r="C18" s="22" t="s">
        <v>20</v>
      </c>
      <c r="D18" s="21" t="s">
        <v>37</v>
      </c>
      <c r="E18" s="23">
        <f>116.87+135.14</f>
        <v>252.01</v>
      </c>
      <c r="F18" s="18">
        <v>125.35</v>
      </c>
      <c r="G18" s="40">
        <f t="shared" si="0"/>
        <v>31589.45</v>
      </c>
      <c r="H18" s="57"/>
      <c r="I18" s="57"/>
      <c r="J18" s="57"/>
      <c r="K18" s="57"/>
      <c r="L18" s="57"/>
      <c r="M18" s="57"/>
      <c r="N18" s="57"/>
      <c r="O18" s="57"/>
      <c r="P18" s="57"/>
    </row>
    <row r="19" s="56" customFormat="1" ht="20" customHeight="1" spans="1:16">
      <c r="A19" s="74" t="s">
        <v>95</v>
      </c>
      <c r="B19" s="75"/>
      <c r="C19" s="75"/>
      <c r="D19" s="75"/>
      <c r="E19" s="75"/>
      <c r="F19" s="75"/>
      <c r="G19" s="76"/>
      <c r="H19" s="57"/>
      <c r="I19" s="57"/>
      <c r="J19" s="57"/>
      <c r="K19" s="57"/>
      <c r="L19" s="57"/>
      <c r="M19" s="57"/>
      <c r="N19" s="57"/>
      <c r="O19" s="57"/>
      <c r="P19" s="57"/>
    </row>
    <row r="20" s="56" customFormat="1" ht="52" customHeight="1" spans="1:16">
      <c r="A20" s="59" t="s">
        <v>94</v>
      </c>
      <c r="B20" s="59"/>
      <c r="C20" s="59"/>
      <c r="D20" s="59"/>
      <c r="E20" s="60"/>
      <c r="F20" s="60"/>
      <c r="G20" s="60"/>
      <c r="H20" s="57"/>
      <c r="I20" s="57"/>
      <c r="J20" s="57"/>
      <c r="K20" s="57"/>
      <c r="L20" s="57"/>
      <c r="M20" s="57"/>
      <c r="N20" s="57"/>
      <c r="O20" s="57"/>
      <c r="P20" s="57"/>
    </row>
    <row r="21" s="56" customFormat="1" ht="20" customHeight="1" spans="1:16">
      <c r="A21" s="59"/>
      <c r="B21" s="59"/>
      <c r="C21" s="59"/>
      <c r="D21" s="59"/>
      <c r="E21" s="60"/>
      <c r="F21" s="6" t="s">
        <v>1</v>
      </c>
      <c r="G21" s="6"/>
      <c r="H21" s="57"/>
      <c r="I21" s="57"/>
      <c r="J21" s="57"/>
      <c r="K21" s="57"/>
      <c r="L21" s="57"/>
      <c r="M21" s="57"/>
      <c r="N21" s="57"/>
      <c r="O21" s="57"/>
      <c r="P21" s="57"/>
    </row>
    <row r="22" s="56" customFormat="1" ht="20" customHeight="1" spans="1:16">
      <c r="A22" s="61" t="s">
        <v>2</v>
      </c>
      <c r="B22" s="62" t="s">
        <v>3</v>
      </c>
      <c r="C22" s="62" t="s">
        <v>4</v>
      </c>
      <c r="D22" s="62" t="s">
        <v>5</v>
      </c>
      <c r="E22" s="63" t="s">
        <v>6</v>
      </c>
      <c r="F22" s="63" t="s">
        <v>7</v>
      </c>
      <c r="G22" s="64" t="s">
        <v>8</v>
      </c>
      <c r="H22" s="57"/>
      <c r="I22" s="57"/>
      <c r="J22" s="57"/>
      <c r="K22" s="57"/>
      <c r="L22" s="57"/>
      <c r="M22" s="57"/>
      <c r="N22" s="57"/>
      <c r="O22" s="57"/>
      <c r="P22" s="57"/>
    </row>
    <row r="23" s="56" customFormat="1" ht="60" spans="1:16">
      <c r="A23" s="20">
        <v>14</v>
      </c>
      <c r="B23" s="25" t="s">
        <v>82</v>
      </c>
      <c r="C23" s="22" t="s">
        <v>20</v>
      </c>
      <c r="D23" s="21" t="s">
        <v>35</v>
      </c>
      <c r="E23" s="23">
        <f>3.6+5.1</f>
        <v>8.7</v>
      </c>
      <c r="F23" s="18">
        <v>128.83</v>
      </c>
      <c r="G23" s="40">
        <f t="shared" ref="G23:G28" si="1">ROUND(E23*F23,2)</f>
        <v>1120.82</v>
      </c>
      <c r="H23" s="57"/>
      <c r="I23" s="57"/>
      <c r="J23" s="57"/>
      <c r="K23" s="57"/>
      <c r="L23" s="57"/>
      <c r="M23" s="57"/>
      <c r="N23" s="57"/>
      <c r="O23" s="57"/>
      <c r="P23" s="57"/>
    </row>
    <row r="24" s="56" customFormat="1" ht="60" spans="1:16">
      <c r="A24" s="20">
        <v>15</v>
      </c>
      <c r="B24" s="25" t="s">
        <v>83</v>
      </c>
      <c r="C24" s="22" t="s">
        <v>20</v>
      </c>
      <c r="D24" s="21" t="s">
        <v>37</v>
      </c>
      <c r="E24" s="23">
        <f>0.6+0.85</f>
        <v>1.45</v>
      </c>
      <c r="F24" s="18">
        <v>125.35</v>
      </c>
      <c r="G24" s="40">
        <f t="shared" si="1"/>
        <v>181.76</v>
      </c>
      <c r="H24" s="57"/>
      <c r="I24" s="57"/>
      <c r="J24" s="57"/>
      <c r="K24" s="57"/>
      <c r="L24" s="57"/>
      <c r="M24" s="57"/>
      <c r="N24" s="57"/>
      <c r="O24" s="57"/>
      <c r="P24" s="57"/>
    </row>
    <row r="25" s="56" customFormat="1" ht="60" spans="1:16">
      <c r="A25" s="20">
        <v>16</v>
      </c>
      <c r="B25" s="25" t="s">
        <v>39</v>
      </c>
      <c r="C25" s="22" t="s">
        <v>40</v>
      </c>
      <c r="D25" s="25" t="s">
        <v>41</v>
      </c>
      <c r="E25" s="23">
        <f>15+30</f>
        <v>45</v>
      </c>
      <c r="F25" s="18">
        <v>213.44</v>
      </c>
      <c r="G25" s="40">
        <f t="shared" si="1"/>
        <v>9604.8</v>
      </c>
      <c r="H25" s="57"/>
      <c r="I25" s="57"/>
      <c r="J25" s="57"/>
      <c r="K25" s="57"/>
      <c r="L25" s="57"/>
      <c r="M25" s="57"/>
      <c r="N25" s="57"/>
      <c r="O25" s="57"/>
      <c r="P25" s="57"/>
    </row>
    <row r="26" s="56" customFormat="1" ht="60" spans="1:16">
      <c r="A26" s="20">
        <v>17</v>
      </c>
      <c r="B26" s="25" t="s">
        <v>42</v>
      </c>
      <c r="C26" s="22" t="s">
        <v>20</v>
      </c>
      <c r="D26" s="21" t="s">
        <v>35</v>
      </c>
      <c r="E26" s="23">
        <f>568.4+1229.3</f>
        <v>1797.7</v>
      </c>
      <c r="F26" s="18">
        <v>128.83</v>
      </c>
      <c r="G26" s="40">
        <f t="shared" si="1"/>
        <v>231597.69</v>
      </c>
      <c r="H26" s="57"/>
      <c r="I26" s="57"/>
      <c r="J26" s="57"/>
      <c r="K26" s="57"/>
      <c r="L26" s="57"/>
      <c r="M26" s="57"/>
      <c r="N26" s="57"/>
      <c r="O26" s="57"/>
      <c r="P26" s="57"/>
    </row>
    <row r="27" s="56" customFormat="1" ht="60" spans="1:16">
      <c r="A27" s="20">
        <v>18</v>
      </c>
      <c r="B27" s="25" t="s">
        <v>43</v>
      </c>
      <c r="C27" s="22" t="s">
        <v>20</v>
      </c>
      <c r="D27" s="21" t="s">
        <v>44</v>
      </c>
      <c r="E27" s="23">
        <f>425.9+220</f>
        <v>645.9</v>
      </c>
      <c r="F27" s="18">
        <v>109.8</v>
      </c>
      <c r="G27" s="40">
        <f t="shared" si="1"/>
        <v>70919.82</v>
      </c>
      <c r="H27" s="57"/>
      <c r="I27" s="57"/>
      <c r="J27" s="57"/>
      <c r="K27" s="57"/>
      <c r="L27" s="57"/>
      <c r="M27" s="57"/>
      <c r="N27" s="57"/>
      <c r="O27" s="57"/>
      <c r="P27" s="57"/>
    </row>
    <row r="28" s="56" customFormat="1" ht="36" spans="1:16">
      <c r="A28" s="20">
        <v>19</v>
      </c>
      <c r="B28" s="25" t="s">
        <v>45</v>
      </c>
      <c r="C28" s="22" t="s">
        <v>40</v>
      </c>
      <c r="D28" s="71" t="s">
        <v>46</v>
      </c>
      <c r="E28" s="23">
        <f>352.8+526.7</f>
        <v>879.5</v>
      </c>
      <c r="F28" s="18">
        <v>20.38</v>
      </c>
      <c r="G28" s="40">
        <f t="shared" si="1"/>
        <v>17924.21</v>
      </c>
      <c r="H28" s="57"/>
      <c r="I28" s="57"/>
      <c r="J28" s="57"/>
      <c r="K28" s="57"/>
      <c r="L28" s="57"/>
      <c r="M28" s="57"/>
      <c r="N28" s="57"/>
      <c r="O28" s="57"/>
      <c r="P28" s="57"/>
    </row>
    <row r="29" s="56" customFormat="1" ht="20" customHeight="1" spans="1:16">
      <c r="A29" s="15" t="s">
        <v>50</v>
      </c>
      <c r="B29" s="16" t="s">
        <v>51</v>
      </c>
      <c r="C29" s="17"/>
      <c r="D29" s="17"/>
      <c r="E29" s="18"/>
      <c r="F29" s="18"/>
      <c r="G29" s="19">
        <f>SUM(G30:G30)</f>
        <v>102272.6</v>
      </c>
      <c r="H29" s="57"/>
      <c r="I29" s="57"/>
      <c r="J29" s="57"/>
      <c r="K29" s="57"/>
      <c r="L29" s="57"/>
      <c r="M29" s="57"/>
      <c r="N29" s="57"/>
      <c r="O29" s="57"/>
      <c r="P29" s="57"/>
    </row>
    <row r="30" s="56" customFormat="1" ht="60" spans="1:16">
      <c r="A30" s="39">
        <v>1</v>
      </c>
      <c r="B30" s="25" t="s">
        <v>53</v>
      </c>
      <c r="C30" s="22" t="s">
        <v>20</v>
      </c>
      <c r="D30" s="21" t="s">
        <v>37</v>
      </c>
      <c r="E30" s="23">
        <f>420+410</f>
        <v>830</v>
      </c>
      <c r="F30" s="23">
        <v>123.22</v>
      </c>
      <c r="G30" s="24">
        <f>ROUND(E30*F30,2)</f>
        <v>102272.6</v>
      </c>
      <c r="H30" s="57"/>
      <c r="I30" s="57"/>
      <c r="J30" s="57"/>
      <c r="K30" s="57"/>
      <c r="L30" s="57"/>
      <c r="M30" s="57"/>
      <c r="N30" s="57"/>
      <c r="O30" s="57"/>
      <c r="P30" s="57"/>
    </row>
    <row r="31" s="56" customFormat="1" ht="20" customHeight="1" spans="1:16">
      <c r="A31" s="15" t="s">
        <v>54</v>
      </c>
      <c r="B31" s="16" t="s">
        <v>55</v>
      </c>
      <c r="C31" s="17"/>
      <c r="D31" s="17"/>
      <c r="E31" s="18"/>
      <c r="F31" s="18"/>
      <c r="G31" s="19">
        <f>SUM(G32:G33)</f>
        <v>89800.28</v>
      </c>
      <c r="H31" s="57"/>
      <c r="I31" s="57"/>
      <c r="J31" s="57"/>
      <c r="K31" s="57"/>
      <c r="L31" s="57"/>
      <c r="M31" s="57"/>
      <c r="N31" s="57"/>
      <c r="O31" s="57"/>
      <c r="P31" s="57"/>
    </row>
    <row r="32" s="56" customFormat="1" ht="60" spans="1:16">
      <c r="A32" s="20">
        <v>1</v>
      </c>
      <c r="B32" s="25" t="s">
        <v>56</v>
      </c>
      <c r="C32" s="22" t="s">
        <v>40</v>
      </c>
      <c r="D32" s="25" t="s">
        <v>41</v>
      </c>
      <c r="E32" s="23">
        <f>17+29.5</f>
        <v>46.5</v>
      </c>
      <c r="F32" s="18">
        <v>1455.92</v>
      </c>
      <c r="G32" s="24">
        <f>ROUND(E32*F32,2)</f>
        <v>67700.28</v>
      </c>
      <c r="H32" s="57"/>
      <c r="I32" s="57"/>
      <c r="J32" s="57"/>
      <c r="K32" s="57"/>
      <c r="L32" s="57"/>
      <c r="M32" s="57"/>
      <c r="N32" s="57"/>
      <c r="O32" s="57"/>
      <c r="P32" s="57"/>
    </row>
    <row r="33" s="56" customFormat="1" ht="72" spans="1:16">
      <c r="A33" s="20">
        <v>2</v>
      </c>
      <c r="B33" s="25" t="s">
        <v>57</v>
      </c>
      <c r="C33" s="22" t="s">
        <v>40</v>
      </c>
      <c r="D33" s="25" t="s">
        <v>58</v>
      </c>
      <c r="E33" s="23">
        <v>13</v>
      </c>
      <c r="F33" s="18">
        <v>1700</v>
      </c>
      <c r="G33" s="24">
        <f>ROUND(E33*F33,2)</f>
        <v>22100</v>
      </c>
      <c r="H33" s="57"/>
      <c r="I33" s="57"/>
      <c r="J33" s="57"/>
      <c r="K33" s="57"/>
      <c r="L33" s="57"/>
      <c r="M33" s="57"/>
      <c r="N33" s="57"/>
      <c r="O33" s="57"/>
      <c r="P33" s="57"/>
    </row>
    <row r="34" s="56" customFormat="1" ht="20" customHeight="1" spans="1:16">
      <c r="A34" s="15" t="s">
        <v>59</v>
      </c>
      <c r="B34" s="16" t="s">
        <v>60</v>
      </c>
      <c r="C34" s="22"/>
      <c r="D34" s="22"/>
      <c r="E34" s="23"/>
      <c r="F34" s="23"/>
      <c r="G34" s="31">
        <f>SUM(G35:G43)</f>
        <v>14787.57</v>
      </c>
      <c r="H34" s="57"/>
      <c r="I34" s="57"/>
      <c r="J34" s="57"/>
      <c r="K34" s="57"/>
      <c r="L34" s="57"/>
      <c r="M34" s="57"/>
      <c r="N34" s="57"/>
      <c r="O34" s="57"/>
      <c r="P34" s="57"/>
    </row>
    <row r="35" s="56" customFormat="1" ht="48" spans="1:16">
      <c r="A35" s="39">
        <v>1</v>
      </c>
      <c r="B35" s="21" t="s">
        <v>19</v>
      </c>
      <c r="C35" s="17" t="s">
        <v>20</v>
      </c>
      <c r="D35" s="21" t="s">
        <v>21</v>
      </c>
      <c r="E35" s="23">
        <f>79.56+19</f>
        <v>98.56</v>
      </c>
      <c r="F35" s="18">
        <v>3.94</v>
      </c>
      <c r="G35" s="24">
        <f>ROUND(E35*F35,2)</f>
        <v>388.33</v>
      </c>
      <c r="H35" s="57"/>
      <c r="I35" s="57"/>
      <c r="J35" s="57"/>
      <c r="K35" s="57"/>
      <c r="L35" s="57"/>
      <c r="M35" s="57"/>
      <c r="N35" s="57"/>
      <c r="O35" s="57"/>
      <c r="P35" s="57"/>
    </row>
    <row r="36" s="56" customFormat="1" ht="20" customHeight="1" spans="1:16">
      <c r="A36" s="74" t="s">
        <v>96</v>
      </c>
      <c r="B36" s="75"/>
      <c r="C36" s="75"/>
      <c r="D36" s="75"/>
      <c r="E36" s="75"/>
      <c r="F36" s="75"/>
      <c r="G36" s="76"/>
      <c r="H36" s="57"/>
      <c r="I36" s="57"/>
      <c r="J36" s="57"/>
      <c r="K36" s="57"/>
      <c r="L36" s="57"/>
      <c r="M36" s="57"/>
      <c r="N36" s="57"/>
      <c r="O36" s="57"/>
      <c r="P36" s="57"/>
    </row>
    <row r="37" s="56" customFormat="1" ht="46" customHeight="1" spans="1:16">
      <c r="A37" s="59" t="s">
        <v>94</v>
      </c>
      <c r="B37" s="59"/>
      <c r="C37" s="59"/>
      <c r="D37" s="59"/>
      <c r="E37" s="60"/>
      <c r="F37" s="60"/>
      <c r="G37" s="60"/>
      <c r="H37" s="57"/>
      <c r="I37" s="57"/>
      <c r="J37" s="57"/>
      <c r="K37" s="57"/>
      <c r="L37" s="57"/>
      <c r="M37" s="57"/>
      <c r="N37" s="57"/>
      <c r="O37" s="57"/>
      <c r="P37" s="57"/>
    </row>
    <row r="38" s="56" customFormat="1" ht="20" customHeight="1" spans="1:16">
      <c r="A38" s="59"/>
      <c r="B38" s="59"/>
      <c r="C38" s="59"/>
      <c r="D38" s="59"/>
      <c r="E38" s="60"/>
      <c r="F38" s="6" t="s">
        <v>1</v>
      </c>
      <c r="G38" s="6"/>
      <c r="H38" s="57"/>
      <c r="I38" s="57"/>
      <c r="J38" s="57"/>
      <c r="K38" s="57"/>
      <c r="L38" s="57"/>
      <c r="M38" s="57"/>
      <c r="N38" s="57"/>
      <c r="O38" s="57"/>
      <c r="P38" s="57"/>
    </row>
    <row r="39" s="56" customFormat="1" ht="20" customHeight="1" spans="1:16">
      <c r="A39" s="61" t="s">
        <v>2</v>
      </c>
      <c r="B39" s="62" t="s">
        <v>3</v>
      </c>
      <c r="C39" s="62" t="s">
        <v>4</v>
      </c>
      <c r="D39" s="62" t="s">
        <v>5</v>
      </c>
      <c r="E39" s="63" t="s">
        <v>6</v>
      </c>
      <c r="F39" s="63" t="s">
        <v>7</v>
      </c>
      <c r="G39" s="64" t="s">
        <v>8</v>
      </c>
      <c r="H39" s="57"/>
      <c r="I39" s="57"/>
      <c r="J39" s="57"/>
      <c r="K39" s="57"/>
      <c r="L39" s="57"/>
      <c r="M39" s="57"/>
      <c r="N39" s="57"/>
      <c r="O39" s="57"/>
      <c r="P39" s="57"/>
    </row>
    <row r="40" s="56" customFormat="1" ht="60" spans="1:16">
      <c r="A40" s="39">
        <v>2</v>
      </c>
      <c r="B40" s="21" t="s">
        <v>24</v>
      </c>
      <c r="C40" s="17" t="s">
        <v>20</v>
      </c>
      <c r="D40" s="21" t="s">
        <v>23</v>
      </c>
      <c r="E40" s="23">
        <f>185.64+45</f>
        <v>230.64</v>
      </c>
      <c r="F40" s="18">
        <v>15.59</v>
      </c>
      <c r="G40" s="24">
        <f>ROUND(E40*F40,2)</f>
        <v>3595.68</v>
      </c>
      <c r="H40" s="57"/>
      <c r="I40" s="57"/>
      <c r="J40" s="57"/>
      <c r="K40" s="57"/>
      <c r="L40" s="57"/>
      <c r="M40" s="57"/>
      <c r="N40" s="57"/>
      <c r="O40" s="57"/>
      <c r="P40" s="57"/>
    </row>
    <row r="41" s="56" customFormat="1" ht="36" spans="1:16">
      <c r="A41" s="39">
        <v>3</v>
      </c>
      <c r="B41" s="21" t="s">
        <v>25</v>
      </c>
      <c r="C41" s="72" t="s">
        <v>20</v>
      </c>
      <c r="D41" s="71" t="s">
        <v>26</v>
      </c>
      <c r="E41" s="23">
        <f>E35+E40</f>
        <v>329.2</v>
      </c>
      <c r="F41" s="18">
        <v>6.85</v>
      </c>
      <c r="G41" s="24">
        <f>ROUND(E41*F41,2)</f>
        <v>2255.02</v>
      </c>
      <c r="H41" s="57"/>
      <c r="I41" s="57"/>
      <c r="J41" s="57"/>
      <c r="K41" s="57"/>
      <c r="L41" s="57"/>
      <c r="M41" s="57"/>
      <c r="N41" s="57"/>
      <c r="O41" s="57"/>
      <c r="P41" s="57"/>
    </row>
    <row r="42" s="56" customFormat="1" ht="36" spans="1:16">
      <c r="A42" s="39">
        <v>4</v>
      </c>
      <c r="B42" s="21" t="s">
        <v>27</v>
      </c>
      <c r="C42" s="17" t="s">
        <v>20</v>
      </c>
      <c r="D42" s="71" t="s">
        <v>26</v>
      </c>
      <c r="E42" s="23">
        <f>E41</f>
        <v>329.2</v>
      </c>
      <c r="F42" s="18">
        <v>1.26</v>
      </c>
      <c r="G42" s="24">
        <f>ROUND(E42*F42,2)</f>
        <v>414.79</v>
      </c>
      <c r="H42" s="57"/>
      <c r="I42" s="57"/>
      <c r="J42" s="57"/>
      <c r="K42" s="57"/>
      <c r="L42" s="57"/>
      <c r="M42" s="57"/>
      <c r="N42" s="57"/>
      <c r="O42" s="57"/>
      <c r="P42" s="57"/>
    </row>
    <row r="43" s="56" customFormat="1" ht="60" spans="1:16">
      <c r="A43" s="39">
        <v>5</v>
      </c>
      <c r="B43" s="21" t="s">
        <v>62</v>
      </c>
      <c r="C43" s="17" t="s">
        <v>17</v>
      </c>
      <c r="D43" s="21" t="s">
        <v>37</v>
      </c>
      <c r="E43" s="23">
        <v>361.5</v>
      </c>
      <c r="F43" s="18">
        <v>22.5</v>
      </c>
      <c r="G43" s="24">
        <f>ROUND(E43*F43,2)</f>
        <v>8133.75</v>
      </c>
      <c r="H43" s="57"/>
      <c r="I43" s="57"/>
      <c r="J43" s="57"/>
      <c r="K43" s="57"/>
      <c r="L43" s="57"/>
      <c r="M43" s="57"/>
      <c r="N43" s="57"/>
      <c r="O43" s="57"/>
      <c r="P43" s="57"/>
    </row>
    <row r="44" s="56" customFormat="1" ht="30" customHeight="1" spans="1:16">
      <c r="A44" s="15" t="s">
        <v>63</v>
      </c>
      <c r="B44" s="16" t="s">
        <v>64</v>
      </c>
      <c r="C44" s="17"/>
      <c r="D44" s="17"/>
      <c r="E44" s="18"/>
      <c r="F44" s="23"/>
      <c r="G44" s="31">
        <f>SUM(G45:G45)</f>
        <v>9037.16</v>
      </c>
      <c r="H44" s="57"/>
      <c r="I44" s="57"/>
      <c r="J44" s="57"/>
      <c r="K44" s="57"/>
      <c r="L44" s="57"/>
      <c r="M44" s="57"/>
      <c r="N44" s="57"/>
      <c r="O44" s="57"/>
      <c r="P44" s="57"/>
    </row>
    <row r="45" s="56" customFormat="1" ht="36" spans="1:16">
      <c r="A45" s="39">
        <v>1</v>
      </c>
      <c r="B45" s="25" t="s">
        <v>65</v>
      </c>
      <c r="C45" s="22" t="s">
        <v>40</v>
      </c>
      <c r="D45" s="21" t="s">
        <v>66</v>
      </c>
      <c r="E45" s="23">
        <f>517*2</f>
        <v>1034</v>
      </c>
      <c r="F45" s="18">
        <v>8.74</v>
      </c>
      <c r="G45" s="24">
        <f t="shared" ref="G45:G57" si="2">ROUND(E45*F45,2)</f>
        <v>9037.16</v>
      </c>
      <c r="H45" s="57"/>
      <c r="I45" s="57"/>
      <c r="J45" s="57"/>
      <c r="K45" s="57"/>
      <c r="L45" s="57"/>
      <c r="M45" s="57"/>
      <c r="N45" s="57"/>
      <c r="O45" s="57"/>
      <c r="P45" s="57"/>
    </row>
    <row r="46" s="56" customFormat="1" ht="20" customHeight="1" spans="1:16">
      <c r="A46" s="15" t="s">
        <v>88</v>
      </c>
      <c r="B46" s="16" t="s">
        <v>89</v>
      </c>
      <c r="C46" s="22"/>
      <c r="D46" s="22"/>
      <c r="E46" s="23"/>
      <c r="F46" s="23"/>
      <c r="G46" s="31">
        <f>SUM(G47:G59)</f>
        <v>223248.14</v>
      </c>
      <c r="H46" s="57"/>
      <c r="I46" s="57"/>
      <c r="J46" s="57"/>
      <c r="K46" s="57"/>
      <c r="L46" s="57"/>
      <c r="M46" s="57"/>
      <c r="N46" s="57"/>
      <c r="O46" s="57"/>
      <c r="P46" s="57"/>
    </row>
    <row r="47" s="56" customFormat="1" ht="48" spans="1:16">
      <c r="A47" s="39">
        <v>1</v>
      </c>
      <c r="B47" s="21" t="s">
        <v>19</v>
      </c>
      <c r="C47" s="22" t="s">
        <v>20</v>
      </c>
      <c r="D47" s="21" t="s">
        <v>21</v>
      </c>
      <c r="E47" s="23">
        <v>2998</v>
      </c>
      <c r="F47" s="18">
        <v>3.94</v>
      </c>
      <c r="G47" s="24">
        <f t="shared" si="2"/>
        <v>11812.12</v>
      </c>
      <c r="H47" s="57"/>
      <c r="I47" s="57"/>
      <c r="J47" s="57"/>
      <c r="K47" s="57"/>
      <c r="L47" s="57"/>
      <c r="M47" s="57"/>
      <c r="N47" s="57"/>
      <c r="O47" s="57"/>
      <c r="P47" s="57"/>
    </row>
    <row r="48" s="56" customFormat="1" ht="60" spans="1:16">
      <c r="A48" s="39">
        <v>2</v>
      </c>
      <c r="B48" s="21" t="s">
        <v>24</v>
      </c>
      <c r="C48" s="22" t="s">
        <v>20</v>
      </c>
      <c r="D48" s="21" t="s">
        <v>23</v>
      </c>
      <c r="E48" s="18">
        <v>5996</v>
      </c>
      <c r="F48" s="18">
        <v>15.59</v>
      </c>
      <c r="G48" s="24">
        <f t="shared" si="2"/>
        <v>93477.64</v>
      </c>
      <c r="H48" s="57"/>
      <c r="I48" s="57"/>
      <c r="J48" s="57"/>
      <c r="K48" s="57"/>
      <c r="L48" s="57"/>
      <c r="M48" s="57"/>
      <c r="N48" s="57"/>
      <c r="O48" s="57"/>
      <c r="P48" s="57"/>
    </row>
    <row r="49" s="56" customFormat="1" ht="36" spans="1:16">
      <c r="A49" s="39">
        <v>3</v>
      </c>
      <c r="B49" s="21" t="s">
        <v>25</v>
      </c>
      <c r="C49" s="22" t="s">
        <v>20</v>
      </c>
      <c r="D49" s="71" t="s">
        <v>26</v>
      </c>
      <c r="E49" s="18">
        <f>E47+E48-E51</f>
        <v>8982</v>
      </c>
      <c r="F49" s="18">
        <v>6.85</v>
      </c>
      <c r="G49" s="24">
        <f t="shared" si="2"/>
        <v>61526.7</v>
      </c>
      <c r="H49" s="57"/>
      <c r="I49" s="57"/>
      <c r="J49" s="57"/>
      <c r="K49" s="57"/>
      <c r="L49" s="57"/>
      <c r="M49" s="57"/>
      <c r="N49" s="57"/>
      <c r="O49" s="57"/>
      <c r="P49" s="57"/>
    </row>
    <row r="50" s="56" customFormat="1" ht="36" spans="1:16">
      <c r="A50" s="39">
        <v>4</v>
      </c>
      <c r="B50" s="21" t="s">
        <v>27</v>
      </c>
      <c r="C50" s="22" t="s">
        <v>20</v>
      </c>
      <c r="D50" s="71" t="s">
        <v>26</v>
      </c>
      <c r="E50" s="18">
        <f>E49</f>
        <v>8982</v>
      </c>
      <c r="F50" s="18">
        <v>1.26</v>
      </c>
      <c r="G50" s="24">
        <f t="shared" si="2"/>
        <v>11317.32</v>
      </c>
      <c r="H50" s="57"/>
      <c r="I50" s="57"/>
      <c r="J50" s="57"/>
      <c r="K50" s="57"/>
      <c r="L50" s="57"/>
      <c r="M50" s="57"/>
      <c r="N50" s="57"/>
      <c r="O50" s="57"/>
      <c r="P50" s="57"/>
    </row>
    <row r="51" s="56" customFormat="1" ht="48" spans="1:16">
      <c r="A51" s="39">
        <v>5</v>
      </c>
      <c r="B51" s="25" t="s">
        <v>28</v>
      </c>
      <c r="C51" s="22" t="s">
        <v>20</v>
      </c>
      <c r="D51" s="21" t="s">
        <v>29</v>
      </c>
      <c r="E51" s="23">
        <v>12</v>
      </c>
      <c r="F51" s="18">
        <v>2.94</v>
      </c>
      <c r="G51" s="24">
        <f t="shared" si="2"/>
        <v>35.28</v>
      </c>
      <c r="H51" s="57"/>
      <c r="I51" s="57"/>
      <c r="J51" s="57"/>
      <c r="K51" s="57"/>
      <c r="L51" s="57"/>
      <c r="M51" s="57"/>
      <c r="N51" s="57"/>
      <c r="O51" s="57"/>
      <c r="P51" s="57"/>
    </row>
    <row r="52" s="56" customFormat="1" ht="60" spans="1:16">
      <c r="A52" s="39">
        <v>6</v>
      </c>
      <c r="B52" s="21" t="s">
        <v>97</v>
      </c>
      <c r="C52" s="17" t="s">
        <v>17</v>
      </c>
      <c r="D52" s="21" t="s">
        <v>37</v>
      </c>
      <c r="E52" s="23">
        <v>1342</v>
      </c>
      <c r="F52" s="18">
        <v>22.5</v>
      </c>
      <c r="G52" s="24">
        <f t="shared" si="2"/>
        <v>30195</v>
      </c>
      <c r="H52" s="57"/>
      <c r="I52" s="57"/>
      <c r="J52" s="57"/>
      <c r="K52" s="57"/>
      <c r="L52" s="57"/>
      <c r="M52" s="57"/>
      <c r="N52" s="57"/>
      <c r="O52" s="57"/>
      <c r="P52" s="57"/>
    </row>
    <row r="53" s="56" customFormat="1" ht="36" spans="1:16">
      <c r="A53" s="39">
        <v>7</v>
      </c>
      <c r="B53" s="21" t="s">
        <v>98</v>
      </c>
      <c r="C53" s="17" t="s">
        <v>99</v>
      </c>
      <c r="D53" s="21" t="s">
        <v>100</v>
      </c>
      <c r="E53" s="47">
        <v>0.035</v>
      </c>
      <c r="F53" s="18">
        <v>1.22</v>
      </c>
      <c r="G53" s="24">
        <f t="shared" si="2"/>
        <v>0.04</v>
      </c>
      <c r="H53" s="57"/>
      <c r="I53" s="57"/>
      <c r="J53" s="57"/>
      <c r="K53" s="57"/>
      <c r="L53" s="57"/>
      <c r="M53" s="57"/>
      <c r="N53" s="57"/>
      <c r="O53" s="57"/>
      <c r="P53" s="57"/>
    </row>
    <row r="54" s="56" customFormat="1" ht="60" spans="1:16">
      <c r="A54" s="39">
        <v>8</v>
      </c>
      <c r="B54" s="25" t="s">
        <v>34</v>
      </c>
      <c r="C54" s="22" t="s">
        <v>20</v>
      </c>
      <c r="D54" s="21" t="s">
        <v>35</v>
      </c>
      <c r="E54" s="23">
        <v>68</v>
      </c>
      <c r="F54" s="18">
        <v>128.83</v>
      </c>
      <c r="G54" s="24">
        <f t="shared" si="2"/>
        <v>8760.44</v>
      </c>
      <c r="H54" s="57"/>
      <c r="I54" s="57"/>
      <c r="J54" s="57"/>
      <c r="K54" s="57"/>
      <c r="L54" s="57"/>
      <c r="M54" s="57"/>
      <c r="N54" s="57"/>
      <c r="O54" s="57"/>
      <c r="P54" s="57"/>
    </row>
    <row r="55" s="56" customFormat="1" ht="20" customHeight="1" spans="1:16">
      <c r="A55" s="74" t="s">
        <v>101</v>
      </c>
      <c r="B55" s="75"/>
      <c r="C55" s="75"/>
      <c r="D55" s="75"/>
      <c r="E55" s="75"/>
      <c r="F55" s="75"/>
      <c r="G55" s="76"/>
      <c r="H55" s="57"/>
      <c r="I55" s="57"/>
      <c r="J55" s="57"/>
      <c r="K55" s="57"/>
      <c r="L55" s="57"/>
      <c r="M55" s="57"/>
      <c r="N55" s="57"/>
      <c r="O55" s="57"/>
      <c r="P55" s="57"/>
    </row>
    <row r="56" s="56" customFormat="1" ht="47" customHeight="1" spans="1:16">
      <c r="A56" s="59" t="s">
        <v>94</v>
      </c>
      <c r="B56" s="59"/>
      <c r="C56" s="59"/>
      <c r="D56" s="59"/>
      <c r="E56" s="60"/>
      <c r="F56" s="60"/>
      <c r="G56" s="60"/>
      <c r="H56" s="57"/>
      <c r="I56" s="57"/>
      <c r="J56" s="57"/>
      <c r="K56" s="57"/>
      <c r="L56" s="57"/>
      <c r="M56" s="57"/>
      <c r="N56" s="57"/>
      <c r="O56" s="57"/>
      <c r="P56" s="57"/>
    </row>
    <row r="57" s="56" customFormat="1" ht="20" customHeight="1" spans="1:16">
      <c r="A57" s="59"/>
      <c r="B57" s="59"/>
      <c r="C57" s="59"/>
      <c r="D57" s="59"/>
      <c r="E57" s="60"/>
      <c r="F57" s="6" t="s">
        <v>1</v>
      </c>
      <c r="G57" s="6"/>
      <c r="H57" s="57"/>
      <c r="I57" s="57"/>
      <c r="J57" s="57"/>
      <c r="K57" s="57"/>
      <c r="L57" s="57"/>
      <c r="M57" s="57"/>
      <c r="N57" s="57"/>
      <c r="O57" s="57"/>
      <c r="P57" s="57"/>
    </row>
    <row r="58" s="56" customFormat="1" ht="20" customHeight="1" spans="1:16">
      <c r="A58" s="61" t="s">
        <v>2</v>
      </c>
      <c r="B58" s="62" t="s">
        <v>3</v>
      </c>
      <c r="C58" s="62" t="s">
        <v>4</v>
      </c>
      <c r="D58" s="62" t="s">
        <v>5</v>
      </c>
      <c r="E58" s="63" t="s">
        <v>6</v>
      </c>
      <c r="F58" s="63" t="s">
        <v>7</v>
      </c>
      <c r="G58" s="64" t="s">
        <v>8</v>
      </c>
      <c r="H58" s="57"/>
      <c r="I58" s="57"/>
      <c r="J58" s="57"/>
      <c r="K58" s="57"/>
      <c r="L58" s="57"/>
      <c r="M58" s="57"/>
      <c r="N58" s="57"/>
      <c r="O58" s="57"/>
      <c r="P58" s="57"/>
    </row>
    <row r="59" s="56" customFormat="1" ht="60" spans="1:16">
      <c r="A59" s="39">
        <v>9</v>
      </c>
      <c r="B59" s="25" t="s">
        <v>102</v>
      </c>
      <c r="C59" s="22" t="s">
        <v>20</v>
      </c>
      <c r="D59" s="21" t="s">
        <v>37</v>
      </c>
      <c r="E59" s="23">
        <v>56</v>
      </c>
      <c r="F59" s="18">
        <v>109.35</v>
      </c>
      <c r="G59" s="24">
        <f>ROUND(E59*F59,2)</f>
        <v>6123.6</v>
      </c>
      <c r="H59" s="57"/>
      <c r="I59" s="57"/>
      <c r="J59" s="57"/>
      <c r="K59" s="57"/>
      <c r="L59" s="57"/>
      <c r="M59" s="57"/>
      <c r="N59" s="57"/>
      <c r="O59" s="57"/>
      <c r="P59" s="57"/>
    </row>
    <row r="60" s="56" customFormat="1" ht="20" customHeight="1" spans="1:16">
      <c r="A60" s="15" t="s">
        <v>67</v>
      </c>
      <c r="B60" s="26" t="s">
        <v>68</v>
      </c>
      <c r="C60" s="27" t="s">
        <v>69</v>
      </c>
      <c r="D60" s="27"/>
      <c r="E60" s="18">
        <v>0.5</v>
      </c>
      <c r="F60" s="18">
        <f>G4</f>
        <v>3250925.06</v>
      </c>
      <c r="G60" s="19">
        <f>ROUND(E60*F60/100,2)</f>
        <v>16254.63</v>
      </c>
      <c r="H60" s="57"/>
      <c r="I60" s="57"/>
      <c r="J60" s="57"/>
      <c r="K60" s="57"/>
      <c r="L60" s="57"/>
      <c r="M60" s="57"/>
      <c r="N60" s="57"/>
      <c r="O60" s="57"/>
      <c r="P60" s="57"/>
    </row>
    <row r="61" s="56" customFormat="1" ht="20" customHeight="1" spans="1:16">
      <c r="A61" s="15" t="s">
        <v>70</v>
      </c>
      <c r="B61" s="26" t="s">
        <v>71</v>
      </c>
      <c r="C61" s="17" t="s">
        <v>72</v>
      </c>
      <c r="D61" s="17"/>
      <c r="E61" s="18">
        <v>1</v>
      </c>
      <c r="F61" s="18">
        <v>30000</v>
      </c>
      <c r="G61" s="19">
        <f>ROUND(E61*F61,2)</f>
        <v>30000</v>
      </c>
      <c r="H61" s="57"/>
      <c r="I61" s="57"/>
      <c r="J61" s="57"/>
      <c r="K61" s="57"/>
      <c r="L61" s="57"/>
      <c r="M61" s="57"/>
      <c r="N61" s="57"/>
      <c r="O61" s="57"/>
      <c r="P61" s="57"/>
    </row>
    <row r="62" s="56" customFormat="1" ht="20" customHeight="1" spans="1:16">
      <c r="A62" s="15" t="s">
        <v>73</v>
      </c>
      <c r="B62" s="69" t="s">
        <v>74</v>
      </c>
      <c r="C62" s="27" t="s">
        <v>69</v>
      </c>
      <c r="D62" s="27"/>
      <c r="E62" s="18">
        <v>9</v>
      </c>
      <c r="F62" s="18">
        <f>G4+G60+G61</f>
        <v>3297179.69</v>
      </c>
      <c r="G62" s="19">
        <f>ROUND(E62*F62/100,2)</f>
        <v>296746.17</v>
      </c>
      <c r="H62" s="57"/>
      <c r="I62" s="57"/>
      <c r="J62" s="57"/>
      <c r="K62" s="57"/>
      <c r="L62" s="57"/>
      <c r="M62" s="57"/>
      <c r="N62" s="57"/>
      <c r="O62" s="57"/>
      <c r="P62" s="57"/>
    </row>
    <row r="63" s="56" customFormat="1" ht="20" customHeight="1" spans="1:16">
      <c r="A63" s="20"/>
      <c r="B63" s="69" t="s">
        <v>75</v>
      </c>
      <c r="C63" s="17"/>
      <c r="D63" s="17"/>
      <c r="E63" s="18"/>
      <c r="F63" s="18"/>
      <c r="G63" s="19">
        <f>G4+G60+G61+G62</f>
        <v>3593925.86</v>
      </c>
      <c r="H63" s="57"/>
      <c r="I63" s="57"/>
      <c r="J63" s="57"/>
      <c r="K63" s="57"/>
      <c r="L63" s="57"/>
      <c r="M63" s="57"/>
      <c r="N63" s="57"/>
      <c r="O63" s="57"/>
      <c r="P63" s="57"/>
    </row>
    <row r="64" s="56" customFormat="1" ht="20" customHeight="1" spans="1:16">
      <c r="A64" s="20"/>
      <c r="B64" s="17"/>
      <c r="C64" s="17"/>
      <c r="D64" s="17"/>
      <c r="E64" s="18"/>
      <c r="F64" s="18"/>
      <c r="G64" s="40"/>
      <c r="H64" s="57"/>
      <c r="I64" s="57"/>
      <c r="J64" s="57"/>
      <c r="K64" s="57"/>
      <c r="L64" s="57"/>
      <c r="M64" s="57"/>
      <c r="N64" s="57"/>
      <c r="O64" s="57"/>
      <c r="P64" s="57"/>
    </row>
    <row r="65" s="56" customFormat="1" ht="20" customHeight="1" spans="1:16">
      <c r="A65" s="20"/>
      <c r="B65" s="17"/>
      <c r="C65" s="17"/>
      <c r="D65" s="17"/>
      <c r="E65" s="18"/>
      <c r="F65" s="18"/>
      <c r="G65" s="40"/>
      <c r="H65" s="57"/>
      <c r="I65" s="57"/>
      <c r="J65" s="57"/>
      <c r="K65" s="57"/>
      <c r="L65" s="57"/>
      <c r="M65" s="57"/>
      <c r="N65" s="57"/>
      <c r="O65" s="57"/>
      <c r="P65" s="57"/>
    </row>
    <row r="66" s="56" customFormat="1" ht="20" customHeight="1" spans="1:16">
      <c r="A66" s="20"/>
      <c r="B66" s="17"/>
      <c r="C66" s="17"/>
      <c r="D66" s="17"/>
      <c r="E66" s="18"/>
      <c r="F66" s="18"/>
      <c r="G66" s="40"/>
      <c r="H66" s="57"/>
      <c r="I66" s="57"/>
      <c r="J66" s="57"/>
      <c r="K66" s="57"/>
      <c r="L66" s="57"/>
      <c r="M66" s="57"/>
      <c r="N66" s="57"/>
      <c r="O66" s="57"/>
      <c r="P66" s="57"/>
    </row>
    <row r="67" s="56" customFormat="1" ht="20" customHeight="1" spans="1:16">
      <c r="A67" s="20"/>
      <c r="B67" s="17"/>
      <c r="C67" s="17"/>
      <c r="D67" s="17"/>
      <c r="E67" s="18"/>
      <c r="F67" s="18"/>
      <c r="G67" s="40"/>
      <c r="H67" s="57"/>
      <c r="I67" s="57"/>
      <c r="J67" s="57"/>
      <c r="K67" s="57"/>
      <c r="L67" s="57"/>
      <c r="M67" s="57"/>
      <c r="N67" s="57"/>
      <c r="O67" s="57"/>
      <c r="P67" s="57"/>
    </row>
    <row r="68" s="56" customFormat="1" ht="20" customHeight="1" spans="1:16">
      <c r="A68" s="20"/>
      <c r="B68" s="17"/>
      <c r="C68" s="17"/>
      <c r="D68" s="17"/>
      <c r="E68" s="18"/>
      <c r="F68" s="18"/>
      <c r="G68" s="40"/>
      <c r="H68" s="57"/>
      <c r="I68" s="57"/>
      <c r="J68" s="57"/>
      <c r="K68" s="57"/>
      <c r="L68" s="57"/>
      <c r="M68" s="57"/>
      <c r="N68" s="57"/>
      <c r="O68" s="57"/>
      <c r="P68" s="57"/>
    </row>
    <row r="69" s="56" customFormat="1" ht="20" customHeight="1" spans="1:16">
      <c r="A69" s="20"/>
      <c r="B69" s="17"/>
      <c r="C69" s="17"/>
      <c r="D69" s="17"/>
      <c r="E69" s="18"/>
      <c r="F69" s="18"/>
      <c r="G69" s="40"/>
      <c r="H69" s="57"/>
      <c r="I69" s="57"/>
      <c r="J69" s="57"/>
      <c r="K69" s="57"/>
      <c r="L69" s="57"/>
      <c r="M69" s="57"/>
      <c r="N69" s="57"/>
      <c r="O69" s="57"/>
      <c r="P69" s="57"/>
    </row>
    <row r="70" s="56" customFormat="1" ht="18" customHeight="1" spans="1:16">
      <c r="A70" s="20"/>
      <c r="B70" s="17"/>
      <c r="C70" s="17"/>
      <c r="D70" s="17"/>
      <c r="E70" s="18"/>
      <c r="F70" s="18"/>
      <c r="G70" s="40"/>
      <c r="H70" s="57"/>
      <c r="I70" s="57"/>
      <c r="J70" s="57"/>
      <c r="K70" s="57"/>
      <c r="L70" s="57"/>
      <c r="M70" s="57"/>
      <c r="N70" s="57"/>
      <c r="O70" s="57"/>
      <c r="P70" s="57"/>
    </row>
    <row r="71" s="56" customFormat="1" ht="18" customHeight="1" spans="1:16">
      <c r="A71" s="20"/>
      <c r="B71" s="17"/>
      <c r="C71" s="17"/>
      <c r="D71" s="17"/>
      <c r="E71" s="18"/>
      <c r="F71" s="18"/>
      <c r="G71" s="40"/>
      <c r="H71" s="57"/>
      <c r="I71" s="57"/>
      <c r="J71" s="57"/>
      <c r="K71" s="57"/>
      <c r="L71" s="57"/>
      <c r="M71" s="57"/>
      <c r="N71" s="57"/>
      <c r="O71" s="57"/>
      <c r="P71" s="57"/>
    </row>
    <row r="72" s="56" customFormat="1" ht="18" customHeight="1" spans="1:16">
      <c r="A72" s="20"/>
      <c r="B72" s="17"/>
      <c r="C72" s="17"/>
      <c r="D72" s="17"/>
      <c r="E72" s="18"/>
      <c r="F72" s="18"/>
      <c r="G72" s="40"/>
      <c r="H72" s="57"/>
      <c r="I72" s="57"/>
      <c r="J72" s="57"/>
      <c r="K72" s="57"/>
      <c r="L72" s="57"/>
      <c r="M72" s="57"/>
      <c r="N72" s="57"/>
      <c r="O72" s="57"/>
      <c r="P72" s="57"/>
    </row>
    <row r="73" s="56" customFormat="1" ht="18" customHeight="1" spans="1:16">
      <c r="A73" s="20"/>
      <c r="B73" s="17"/>
      <c r="C73" s="17"/>
      <c r="D73" s="17"/>
      <c r="E73" s="18"/>
      <c r="F73" s="18"/>
      <c r="G73" s="40"/>
      <c r="H73" s="57"/>
      <c r="I73" s="57"/>
      <c r="J73" s="57"/>
      <c r="K73" s="57"/>
      <c r="L73" s="57"/>
      <c r="M73" s="57"/>
      <c r="N73" s="57"/>
      <c r="O73" s="57"/>
      <c r="P73" s="57"/>
    </row>
    <row r="74" ht="18" customHeight="1" spans="1:7">
      <c r="A74" s="20"/>
      <c r="B74" s="17"/>
      <c r="C74" s="17"/>
      <c r="D74" s="17"/>
      <c r="E74" s="18"/>
      <c r="F74" s="18"/>
      <c r="G74" s="40"/>
    </row>
    <row r="75" ht="18" customHeight="1" spans="1:7">
      <c r="A75" s="20"/>
      <c r="B75" s="17"/>
      <c r="C75" s="17"/>
      <c r="D75" s="17"/>
      <c r="E75" s="18"/>
      <c r="F75" s="18"/>
      <c r="G75" s="40"/>
    </row>
    <row r="76" ht="18" customHeight="1" spans="1:7">
      <c r="A76" s="20"/>
      <c r="B76" s="17"/>
      <c r="C76" s="17"/>
      <c r="D76" s="17"/>
      <c r="E76" s="18"/>
      <c r="F76" s="18"/>
      <c r="G76" s="40"/>
    </row>
    <row r="77" ht="18" customHeight="1" spans="1:7">
      <c r="A77" s="20"/>
      <c r="B77" s="17"/>
      <c r="C77" s="17"/>
      <c r="D77" s="17"/>
      <c r="E77" s="18"/>
      <c r="F77" s="18"/>
      <c r="G77" s="40"/>
    </row>
    <row r="78" ht="18" customHeight="1" spans="1:7">
      <c r="A78" s="20"/>
      <c r="B78" s="17"/>
      <c r="C78" s="17"/>
      <c r="D78" s="17"/>
      <c r="E78" s="18"/>
      <c r="F78" s="18"/>
      <c r="G78" s="40"/>
    </row>
    <row r="79" ht="18" customHeight="1" spans="1:7">
      <c r="A79" s="20"/>
      <c r="B79" s="17"/>
      <c r="C79" s="17"/>
      <c r="D79" s="17"/>
      <c r="E79" s="18"/>
      <c r="F79" s="18"/>
      <c r="G79" s="40"/>
    </row>
    <row r="80" ht="18" customHeight="1" spans="1:7">
      <c r="A80" s="20"/>
      <c r="B80" s="17"/>
      <c r="C80" s="17"/>
      <c r="D80" s="17"/>
      <c r="E80" s="18"/>
      <c r="F80" s="18"/>
      <c r="G80" s="40"/>
    </row>
    <row r="81" ht="18" customHeight="1" spans="1:7">
      <c r="A81" s="20"/>
      <c r="B81" s="17"/>
      <c r="C81" s="17"/>
      <c r="D81" s="17"/>
      <c r="E81" s="18"/>
      <c r="F81" s="18"/>
      <c r="G81" s="40"/>
    </row>
    <row r="82" ht="18" customHeight="1" spans="1:7">
      <c r="A82" s="20"/>
      <c r="B82" s="17"/>
      <c r="C82" s="17"/>
      <c r="D82" s="17"/>
      <c r="E82" s="18"/>
      <c r="F82" s="18"/>
      <c r="G82" s="40"/>
    </row>
    <row r="83" ht="18" customHeight="1" spans="1:7">
      <c r="A83" s="20"/>
      <c r="B83" s="17"/>
      <c r="C83" s="17"/>
      <c r="D83" s="17"/>
      <c r="E83" s="18"/>
      <c r="F83" s="18"/>
      <c r="G83" s="40"/>
    </row>
    <row r="84" ht="18" customHeight="1" spans="1:7">
      <c r="A84" s="20"/>
      <c r="B84" s="17"/>
      <c r="C84" s="17"/>
      <c r="D84" s="17"/>
      <c r="E84" s="18"/>
      <c r="F84" s="18"/>
      <c r="G84" s="40"/>
    </row>
    <row r="85" ht="18" customHeight="1" spans="1:7">
      <c r="A85" s="20"/>
      <c r="B85" s="17"/>
      <c r="C85" s="17"/>
      <c r="D85" s="17"/>
      <c r="E85" s="18"/>
      <c r="F85" s="18"/>
      <c r="G85" s="40"/>
    </row>
    <row r="86" ht="18" customHeight="1" spans="1:7">
      <c r="A86" s="20"/>
      <c r="B86" s="17"/>
      <c r="C86" s="17"/>
      <c r="D86" s="17"/>
      <c r="E86" s="18"/>
      <c r="F86" s="18"/>
      <c r="G86" s="40"/>
    </row>
    <row r="87" ht="18" customHeight="1" spans="1:7">
      <c r="A87" s="20"/>
      <c r="B87" s="17"/>
      <c r="C87" s="17"/>
      <c r="D87" s="17"/>
      <c r="E87" s="18"/>
      <c r="F87" s="18"/>
      <c r="G87" s="40"/>
    </row>
    <row r="88" ht="18" customHeight="1" spans="1:7">
      <c r="A88" s="20"/>
      <c r="B88" s="17"/>
      <c r="C88" s="17"/>
      <c r="D88" s="17"/>
      <c r="E88" s="18"/>
      <c r="F88" s="18"/>
      <c r="G88" s="40"/>
    </row>
    <row r="89" ht="18" customHeight="1" spans="1:7">
      <c r="A89" s="20"/>
      <c r="B89" s="17"/>
      <c r="C89" s="17"/>
      <c r="D89" s="17"/>
      <c r="E89" s="18"/>
      <c r="F89" s="18"/>
      <c r="G89" s="40"/>
    </row>
    <row r="90" ht="18" customHeight="1" spans="1:7">
      <c r="A90" s="20"/>
      <c r="B90" s="17"/>
      <c r="C90" s="17"/>
      <c r="D90" s="17"/>
      <c r="E90" s="18"/>
      <c r="F90" s="18"/>
      <c r="G90" s="40"/>
    </row>
    <row r="91" ht="18" customHeight="1" spans="1:7">
      <c r="A91" s="74" t="s">
        <v>103</v>
      </c>
      <c r="B91" s="75"/>
      <c r="C91" s="75"/>
      <c r="D91" s="75"/>
      <c r="E91" s="75"/>
      <c r="F91" s="75"/>
      <c r="G91" s="76"/>
    </row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</sheetData>
  <mergeCells count="12">
    <mergeCell ref="A1:G1"/>
    <mergeCell ref="F2:G2"/>
    <mergeCell ref="A19:G19"/>
    <mergeCell ref="A20:G20"/>
    <mergeCell ref="F21:G21"/>
    <mergeCell ref="A36:G36"/>
    <mergeCell ref="A37:G37"/>
    <mergeCell ref="F38:G38"/>
    <mergeCell ref="A55:G55"/>
    <mergeCell ref="A56:G56"/>
    <mergeCell ref="F57:G57"/>
    <mergeCell ref="A91:G91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2"/>
  <sheetViews>
    <sheetView topLeftCell="A42" workbookViewId="0">
      <selection activeCell="D44" sqref="D44"/>
    </sheetView>
  </sheetViews>
  <sheetFormatPr defaultColWidth="9" defaultRowHeight="14"/>
  <cols>
    <col min="1" max="1" width="5.62727272727273" style="57" customWidth="1"/>
    <col min="2" max="2" width="22.6272727272727" style="57" customWidth="1"/>
    <col min="3" max="3" width="5.62727272727273" style="57" customWidth="1"/>
    <col min="4" max="4" width="20.6272727272727" style="57" customWidth="1"/>
    <col min="5" max="5" width="10.6272727272727" style="58" customWidth="1"/>
    <col min="6" max="6" width="12.6272727272727" style="58" customWidth="1"/>
    <col min="7" max="7" width="13.6272727272727" style="58" customWidth="1"/>
    <col min="8" max="16" width="9" style="57"/>
    <col min="17" max="16384" width="9" style="56"/>
  </cols>
  <sheetData>
    <row r="1" s="56" customFormat="1" ht="50" customHeight="1" spans="1:16">
      <c r="A1" s="59" t="s">
        <v>104</v>
      </c>
      <c r="B1" s="59"/>
      <c r="C1" s="59"/>
      <c r="D1" s="59"/>
      <c r="E1" s="60"/>
      <c r="F1" s="60"/>
      <c r="G1" s="60"/>
      <c r="H1" s="57"/>
      <c r="I1" s="57"/>
      <c r="J1" s="57"/>
      <c r="K1" s="57"/>
      <c r="L1" s="57"/>
      <c r="M1" s="57"/>
      <c r="N1" s="57"/>
      <c r="O1" s="57"/>
      <c r="P1" s="57"/>
    </row>
    <row r="2" s="56" customFormat="1" ht="20" customHeight="1" spans="1:16">
      <c r="A2" s="59"/>
      <c r="B2" s="59"/>
      <c r="C2" s="59"/>
      <c r="D2" s="59"/>
      <c r="E2" s="60"/>
      <c r="F2" s="6" t="s">
        <v>1</v>
      </c>
      <c r="G2" s="6"/>
      <c r="H2" s="57"/>
      <c r="I2" s="57"/>
      <c r="J2" s="57"/>
      <c r="K2" s="57"/>
      <c r="L2" s="57"/>
      <c r="M2" s="57"/>
      <c r="N2" s="57"/>
      <c r="O2" s="57"/>
      <c r="P2" s="57"/>
    </row>
    <row r="3" s="56" customFormat="1" ht="20" customHeight="1" spans="1:16">
      <c r="A3" s="61" t="s">
        <v>2</v>
      </c>
      <c r="B3" s="62" t="s">
        <v>3</v>
      </c>
      <c r="C3" s="62" t="s">
        <v>4</v>
      </c>
      <c r="D3" s="62" t="s">
        <v>5</v>
      </c>
      <c r="E3" s="63" t="s">
        <v>6</v>
      </c>
      <c r="F3" s="63" t="s">
        <v>7</v>
      </c>
      <c r="G3" s="64" t="s">
        <v>8</v>
      </c>
      <c r="H3" s="57"/>
      <c r="I3" s="57"/>
      <c r="J3" s="57"/>
      <c r="K3" s="57"/>
      <c r="L3" s="57"/>
      <c r="M3" s="57"/>
      <c r="N3" s="57"/>
      <c r="O3" s="57"/>
      <c r="P3" s="57"/>
    </row>
    <row r="4" s="56" customFormat="1" ht="20" customHeight="1" spans="1:16">
      <c r="A4" s="65" t="s">
        <v>9</v>
      </c>
      <c r="B4" s="66" t="s">
        <v>10</v>
      </c>
      <c r="C4" s="66"/>
      <c r="D4" s="66"/>
      <c r="E4" s="67"/>
      <c r="F4" s="67"/>
      <c r="G4" s="68">
        <f>G5+G29+G31+G33+G35</f>
        <v>2395680.4</v>
      </c>
      <c r="H4" s="57"/>
      <c r="I4" s="57"/>
      <c r="J4" s="57"/>
      <c r="K4" s="57"/>
      <c r="L4" s="57"/>
      <c r="M4" s="57"/>
      <c r="N4" s="57"/>
      <c r="O4" s="57"/>
      <c r="P4" s="57"/>
    </row>
    <row r="5" s="56" customFormat="1" ht="20" customHeight="1" spans="1:16">
      <c r="A5" s="15" t="s">
        <v>11</v>
      </c>
      <c r="B5" s="16" t="s">
        <v>12</v>
      </c>
      <c r="C5" s="69"/>
      <c r="D5" s="69"/>
      <c r="E5" s="70"/>
      <c r="F5" s="18"/>
      <c r="G5" s="19">
        <f>SUM(G6:G28)</f>
        <v>2073586.66</v>
      </c>
      <c r="H5" s="57"/>
      <c r="I5" s="57"/>
      <c r="J5" s="57"/>
      <c r="K5" s="57"/>
      <c r="L5" s="57"/>
      <c r="M5" s="57"/>
      <c r="N5" s="57"/>
      <c r="O5" s="57"/>
      <c r="P5" s="57"/>
    </row>
    <row r="6" s="56" customFormat="1" ht="36" spans="1:16">
      <c r="A6" s="20">
        <v>1</v>
      </c>
      <c r="B6" s="25" t="s">
        <v>13</v>
      </c>
      <c r="C6" s="22" t="s">
        <v>14</v>
      </c>
      <c r="D6" s="25" t="s">
        <v>15</v>
      </c>
      <c r="E6" s="23">
        <v>2231</v>
      </c>
      <c r="F6" s="23">
        <v>26.39</v>
      </c>
      <c r="G6" s="40">
        <f t="shared" ref="G6:G27" si="0">ROUND(E6*F6,2)</f>
        <v>58876.09</v>
      </c>
      <c r="H6" s="57"/>
      <c r="I6" s="57"/>
      <c r="J6" s="57"/>
      <c r="K6" s="57"/>
      <c r="L6" s="57"/>
      <c r="M6" s="57"/>
      <c r="N6" s="57"/>
      <c r="O6" s="57"/>
      <c r="P6" s="57"/>
    </row>
    <row r="7" s="56" customFormat="1" ht="36" spans="1:16">
      <c r="A7" s="20">
        <v>2</v>
      </c>
      <c r="B7" s="25" t="s">
        <v>16</v>
      </c>
      <c r="C7" s="22" t="s">
        <v>17</v>
      </c>
      <c r="D7" s="25" t="s">
        <v>18</v>
      </c>
      <c r="E7" s="23">
        <v>1339</v>
      </c>
      <c r="F7" s="18">
        <v>1.24</v>
      </c>
      <c r="G7" s="40">
        <f t="shared" si="0"/>
        <v>1660.36</v>
      </c>
      <c r="H7" s="57"/>
      <c r="I7" s="57"/>
      <c r="J7" s="57"/>
      <c r="K7" s="57"/>
      <c r="L7" s="57"/>
      <c r="M7" s="57"/>
      <c r="N7" s="57"/>
      <c r="O7" s="57"/>
      <c r="P7" s="57"/>
    </row>
    <row r="8" s="56" customFormat="1" ht="48" spans="1:16">
      <c r="A8" s="20">
        <v>3</v>
      </c>
      <c r="B8" s="21" t="s">
        <v>19</v>
      </c>
      <c r="C8" s="17" t="s">
        <v>20</v>
      </c>
      <c r="D8" s="21" t="s">
        <v>21</v>
      </c>
      <c r="E8" s="18">
        <v>6641.13</v>
      </c>
      <c r="F8" s="18">
        <v>3.94</v>
      </c>
      <c r="G8" s="40">
        <f t="shared" si="0"/>
        <v>26166.05</v>
      </c>
      <c r="H8" s="57"/>
      <c r="I8" s="57"/>
      <c r="J8" s="57"/>
      <c r="K8" s="57"/>
      <c r="L8" s="57"/>
      <c r="M8" s="57"/>
      <c r="N8" s="57"/>
      <c r="O8" s="57"/>
      <c r="P8" s="57"/>
    </row>
    <row r="9" s="56" customFormat="1" ht="60" spans="1:16">
      <c r="A9" s="20">
        <v>4</v>
      </c>
      <c r="B9" s="71" t="s">
        <v>22</v>
      </c>
      <c r="C9" s="72" t="s">
        <v>20</v>
      </c>
      <c r="D9" s="21" t="s">
        <v>23</v>
      </c>
      <c r="E9" s="73">
        <v>16527.08</v>
      </c>
      <c r="F9" s="18">
        <v>10.61</v>
      </c>
      <c r="G9" s="40">
        <f t="shared" si="0"/>
        <v>175352.32</v>
      </c>
      <c r="H9" s="57"/>
      <c r="I9" s="57"/>
      <c r="J9" s="57"/>
      <c r="K9" s="57"/>
      <c r="L9" s="57"/>
      <c r="M9" s="57"/>
      <c r="N9" s="57"/>
      <c r="O9" s="57"/>
      <c r="P9" s="57"/>
    </row>
    <row r="10" s="56" customFormat="1" ht="60" spans="1:16">
      <c r="A10" s="20">
        <v>5</v>
      </c>
      <c r="B10" s="21" t="s">
        <v>24</v>
      </c>
      <c r="C10" s="17" t="s">
        <v>20</v>
      </c>
      <c r="D10" s="21" t="s">
        <v>23</v>
      </c>
      <c r="E10" s="18">
        <v>9885.95</v>
      </c>
      <c r="F10" s="18">
        <v>15.59</v>
      </c>
      <c r="G10" s="40">
        <f t="shared" si="0"/>
        <v>154121.96</v>
      </c>
      <c r="H10" s="57"/>
      <c r="I10" s="57"/>
      <c r="J10" s="57"/>
      <c r="K10" s="57"/>
      <c r="L10" s="57"/>
      <c r="M10" s="57"/>
      <c r="N10" s="57"/>
      <c r="O10" s="57"/>
      <c r="P10" s="57"/>
    </row>
    <row r="11" s="56" customFormat="1" ht="36" spans="1:16">
      <c r="A11" s="20">
        <v>6</v>
      </c>
      <c r="B11" s="21" t="s">
        <v>25</v>
      </c>
      <c r="C11" s="72" t="s">
        <v>20</v>
      </c>
      <c r="D11" s="71" t="s">
        <v>26</v>
      </c>
      <c r="E11" s="18">
        <v>22268.59</v>
      </c>
      <c r="F11" s="18">
        <v>5.85</v>
      </c>
      <c r="G11" s="40">
        <f t="shared" si="0"/>
        <v>130271.25</v>
      </c>
      <c r="H11" s="57"/>
      <c r="I11" s="57"/>
      <c r="J11" s="57"/>
      <c r="K11" s="57"/>
      <c r="L11" s="57"/>
      <c r="M11" s="57"/>
      <c r="N11" s="57"/>
      <c r="O11" s="57"/>
      <c r="P11" s="57"/>
    </row>
    <row r="12" s="56" customFormat="1" ht="36" spans="1:16">
      <c r="A12" s="20">
        <v>7</v>
      </c>
      <c r="B12" s="21" t="s">
        <v>27</v>
      </c>
      <c r="C12" s="17" t="s">
        <v>20</v>
      </c>
      <c r="D12" s="71" t="s">
        <v>26</v>
      </c>
      <c r="E12" s="18">
        <v>22268.59</v>
      </c>
      <c r="F12" s="18">
        <v>1.26</v>
      </c>
      <c r="G12" s="40">
        <f t="shared" si="0"/>
        <v>28058.42</v>
      </c>
      <c r="H12" s="57"/>
      <c r="I12" s="57"/>
      <c r="J12" s="57"/>
      <c r="K12" s="57"/>
      <c r="L12" s="57"/>
      <c r="M12" s="57"/>
      <c r="N12" s="57"/>
      <c r="O12" s="57"/>
      <c r="P12" s="57"/>
    </row>
    <row r="13" s="56" customFormat="1" ht="48" spans="1:16">
      <c r="A13" s="20">
        <v>8</v>
      </c>
      <c r="B13" s="21" t="s">
        <v>28</v>
      </c>
      <c r="C13" s="17" t="s">
        <v>20</v>
      </c>
      <c r="D13" s="21" t="s">
        <v>29</v>
      </c>
      <c r="E13" s="23">
        <v>440.78</v>
      </c>
      <c r="F13" s="18">
        <v>2.94</v>
      </c>
      <c r="G13" s="40">
        <f t="shared" si="0"/>
        <v>1295.89</v>
      </c>
      <c r="H13" s="57"/>
      <c r="I13" s="57"/>
      <c r="J13" s="57"/>
      <c r="K13" s="57"/>
      <c r="L13" s="57"/>
      <c r="M13" s="57"/>
      <c r="N13" s="57"/>
      <c r="O13" s="57"/>
      <c r="P13" s="57"/>
    </row>
    <row r="14" s="56" customFormat="1" ht="48" spans="1:16">
      <c r="A14" s="20">
        <v>9</v>
      </c>
      <c r="B14" s="21" t="s">
        <v>30</v>
      </c>
      <c r="C14" s="17" t="s">
        <v>20</v>
      </c>
      <c r="D14" s="21" t="s">
        <v>29</v>
      </c>
      <c r="E14" s="23">
        <v>1467.83</v>
      </c>
      <c r="F14" s="18">
        <v>4.53</v>
      </c>
      <c r="G14" s="40">
        <f t="shared" si="0"/>
        <v>6649.27</v>
      </c>
      <c r="H14" s="57"/>
      <c r="I14" s="57"/>
      <c r="J14" s="57"/>
      <c r="K14" s="57"/>
      <c r="L14" s="57"/>
      <c r="M14" s="57"/>
      <c r="N14" s="57"/>
      <c r="O14" s="57"/>
      <c r="P14" s="57"/>
    </row>
    <row r="15" s="56" customFormat="1" ht="36" spans="1:16">
      <c r="A15" s="20">
        <v>10</v>
      </c>
      <c r="B15" s="21" t="s">
        <v>31</v>
      </c>
      <c r="C15" s="17" t="s">
        <v>20</v>
      </c>
      <c r="D15" s="71" t="s">
        <v>26</v>
      </c>
      <c r="E15" s="23">
        <v>8876.96</v>
      </c>
      <c r="F15" s="18">
        <v>25</v>
      </c>
      <c r="G15" s="40">
        <f t="shared" si="0"/>
        <v>221924</v>
      </c>
      <c r="H15" s="57"/>
      <c r="I15" s="57"/>
      <c r="J15" s="57"/>
      <c r="K15" s="57"/>
      <c r="L15" s="57"/>
      <c r="M15" s="57"/>
      <c r="N15" s="57"/>
      <c r="O15" s="57"/>
      <c r="P15" s="57"/>
    </row>
    <row r="16" s="56" customFormat="1" ht="48" spans="1:16">
      <c r="A16" s="20">
        <v>11</v>
      </c>
      <c r="B16" s="25" t="s">
        <v>32</v>
      </c>
      <c r="C16" s="22" t="s">
        <v>20</v>
      </c>
      <c r="D16" s="21" t="s">
        <v>33</v>
      </c>
      <c r="E16" s="23">
        <v>1033.6</v>
      </c>
      <c r="F16" s="18">
        <v>9.71</v>
      </c>
      <c r="G16" s="40">
        <f t="shared" si="0"/>
        <v>10036.26</v>
      </c>
      <c r="H16" s="57"/>
      <c r="I16" s="57"/>
      <c r="J16" s="57"/>
      <c r="K16" s="57"/>
      <c r="L16" s="57"/>
      <c r="M16" s="57"/>
      <c r="N16" s="57"/>
      <c r="O16" s="57"/>
      <c r="P16" s="57"/>
    </row>
    <row r="17" s="56" customFormat="1" ht="60" spans="1:16">
      <c r="A17" s="20">
        <v>12</v>
      </c>
      <c r="B17" s="25" t="s">
        <v>34</v>
      </c>
      <c r="C17" s="22" t="s">
        <v>20</v>
      </c>
      <c r="D17" s="21" t="s">
        <v>35</v>
      </c>
      <c r="E17" s="23">
        <v>242.85</v>
      </c>
      <c r="F17" s="18">
        <v>128.83</v>
      </c>
      <c r="G17" s="40">
        <f t="shared" si="0"/>
        <v>31286.37</v>
      </c>
      <c r="H17" s="57"/>
      <c r="I17" s="57"/>
      <c r="J17" s="57"/>
      <c r="K17" s="57"/>
      <c r="L17" s="57"/>
      <c r="M17" s="57"/>
      <c r="N17" s="57"/>
      <c r="O17" s="57"/>
      <c r="P17" s="57"/>
    </row>
    <row r="18" s="56" customFormat="1" ht="60" spans="1:16">
      <c r="A18" s="20">
        <v>13</v>
      </c>
      <c r="B18" s="25" t="s">
        <v>36</v>
      </c>
      <c r="C18" s="22" t="s">
        <v>20</v>
      </c>
      <c r="D18" s="21" t="s">
        <v>37</v>
      </c>
      <c r="E18" s="23">
        <v>92.83</v>
      </c>
      <c r="F18" s="18">
        <v>125.35</v>
      </c>
      <c r="G18" s="40">
        <f t="shared" si="0"/>
        <v>11636.24</v>
      </c>
      <c r="H18" s="57"/>
      <c r="I18" s="57"/>
      <c r="J18" s="57"/>
      <c r="K18" s="57"/>
      <c r="L18" s="57"/>
      <c r="M18" s="57"/>
      <c r="N18" s="57"/>
      <c r="O18" s="57"/>
      <c r="P18" s="57"/>
    </row>
    <row r="19" s="56" customFormat="1" ht="20" customHeight="1" spans="1:16">
      <c r="A19" s="74" t="s">
        <v>38</v>
      </c>
      <c r="B19" s="75"/>
      <c r="C19" s="75"/>
      <c r="D19" s="75"/>
      <c r="E19" s="75"/>
      <c r="F19" s="75"/>
      <c r="G19" s="76"/>
      <c r="H19" s="57"/>
      <c r="I19" s="57"/>
      <c r="J19" s="57"/>
      <c r="K19" s="57"/>
      <c r="L19" s="57"/>
      <c r="M19" s="57"/>
      <c r="N19" s="57"/>
      <c r="O19" s="57"/>
      <c r="P19" s="57"/>
    </row>
    <row r="20" s="56" customFormat="1" ht="49" customHeight="1" spans="1:16">
      <c r="A20" s="59" t="s">
        <v>104</v>
      </c>
      <c r="B20" s="59"/>
      <c r="C20" s="59"/>
      <c r="D20" s="59"/>
      <c r="E20" s="60"/>
      <c r="F20" s="60"/>
      <c r="G20" s="60"/>
      <c r="H20" s="57"/>
      <c r="I20" s="57"/>
      <c r="J20" s="57"/>
      <c r="K20" s="57"/>
      <c r="L20" s="57"/>
      <c r="M20" s="57"/>
      <c r="N20" s="57"/>
      <c r="O20" s="57"/>
      <c r="P20" s="57"/>
    </row>
    <row r="21" s="56" customFormat="1" ht="20" customHeight="1" spans="1:16">
      <c r="A21" s="59"/>
      <c r="B21" s="59"/>
      <c r="C21" s="59"/>
      <c r="D21" s="59"/>
      <c r="E21" s="60"/>
      <c r="F21" s="6" t="s">
        <v>1</v>
      </c>
      <c r="G21" s="6"/>
      <c r="H21" s="57"/>
      <c r="I21" s="57"/>
      <c r="J21" s="57"/>
      <c r="K21" s="57"/>
      <c r="L21" s="57"/>
      <c r="M21" s="57"/>
      <c r="N21" s="57"/>
      <c r="O21" s="57"/>
      <c r="P21" s="57"/>
    </row>
    <row r="22" s="56" customFormat="1" ht="20" customHeight="1" spans="1:16">
      <c r="A22" s="61" t="s">
        <v>2</v>
      </c>
      <c r="B22" s="62" t="s">
        <v>3</v>
      </c>
      <c r="C22" s="62" t="s">
        <v>4</v>
      </c>
      <c r="D22" s="62" t="s">
        <v>5</v>
      </c>
      <c r="E22" s="63" t="s">
        <v>6</v>
      </c>
      <c r="F22" s="63" t="s">
        <v>7</v>
      </c>
      <c r="G22" s="64" t="s">
        <v>8</v>
      </c>
      <c r="H22" s="57"/>
      <c r="I22" s="57"/>
      <c r="J22" s="57"/>
      <c r="K22" s="57"/>
      <c r="L22" s="57"/>
      <c r="M22" s="57"/>
      <c r="N22" s="57"/>
      <c r="O22" s="57"/>
      <c r="P22" s="57"/>
    </row>
    <row r="23" s="56" customFormat="1" ht="60" spans="1:16">
      <c r="A23" s="20">
        <v>14</v>
      </c>
      <c r="B23" s="25" t="s">
        <v>82</v>
      </c>
      <c r="C23" s="22" t="s">
        <v>20</v>
      </c>
      <c r="D23" s="21" t="s">
        <v>35</v>
      </c>
      <c r="E23" s="23">
        <v>14.1</v>
      </c>
      <c r="F23" s="18">
        <v>128.83</v>
      </c>
      <c r="G23" s="40">
        <f t="shared" ref="G23:G28" si="1">ROUND(E23*F23,2)</f>
        <v>1816.5</v>
      </c>
      <c r="H23" s="57"/>
      <c r="I23" s="57"/>
      <c r="J23" s="57"/>
      <c r="K23" s="57"/>
      <c r="L23" s="57"/>
      <c r="M23" s="57"/>
      <c r="N23" s="57"/>
      <c r="O23" s="57"/>
      <c r="P23" s="57"/>
    </row>
    <row r="24" s="56" customFormat="1" ht="60" spans="1:16">
      <c r="A24" s="20">
        <v>15</v>
      </c>
      <c r="B24" s="25" t="s">
        <v>83</v>
      </c>
      <c r="C24" s="22" t="s">
        <v>20</v>
      </c>
      <c r="D24" s="21" t="s">
        <v>37</v>
      </c>
      <c r="E24" s="23">
        <v>2.35</v>
      </c>
      <c r="F24" s="18">
        <v>125.35</v>
      </c>
      <c r="G24" s="40">
        <f t="shared" si="1"/>
        <v>294.57</v>
      </c>
      <c r="H24" s="57"/>
      <c r="I24" s="57"/>
      <c r="J24" s="57"/>
      <c r="K24" s="57"/>
      <c r="L24" s="57"/>
      <c r="M24" s="57"/>
      <c r="N24" s="57"/>
      <c r="O24" s="57"/>
      <c r="P24" s="57"/>
    </row>
    <row r="25" s="56" customFormat="1" ht="60" spans="1:16">
      <c r="A25" s="20">
        <v>16</v>
      </c>
      <c r="B25" s="25" t="s">
        <v>42</v>
      </c>
      <c r="C25" s="22" t="s">
        <v>20</v>
      </c>
      <c r="D25" s="21" t="s">
        <v>35</v>
      </c>
      <c r="E25" s="23">
        <v>2757.5</v>
      </c>
      <c r="F25" s="18">
        <v>128.83</v>
      </c>
      <c r="G25" s="40">
        <f t="shared" si="1"/>
        <v>355248.73</v>
      </c>
      <c r="H25" s="57"/>
      <c r="I25" s="57"/>
      <c r="J25" s="57"/>
      <c r="K25" s="57"/>
      <c r="L25" s="57"/>
      <c r="M25" s="57"/>
      <c r="N25" s="57"/>
      <c r="O25" s="57"/>
      <c r="P25" s="57"/>
    </row>
    <row r="26" s="56" customFormat="1" ht="60" spans="1:16">
      <c r="A26" s="20">
        <v>17</v>
      </c>
      <c r="B26" s="25" t="s">
        <v>43</v>
      </c>
      <c r="C26" s="22" t="s">
        <v>20</v>
      </c>
      <c r="D26" s="21" t="s">
        <v>44</v>
      </c>
      <c r="E26" s="23">
        <v>6566.3</v>
      </c>
      <c r="F26" s="18">
        <v>109.8</v>
      </c>
      <c r="G26" s="40">
        <f t="shared" si="1"/>
        <v>720979.74</v>
      </c>
      <c r="H26" s="57"/>
      <c r="I26" s="57"/>
      <c r="J26" s="57"/>
      <c r="K26" s="57"/>
      <c r="L26" s="57"/>
      <c r="M26" s="57"/>
      <c r="N26" s="57"/>
      <c r="O26" s="57"/>
      <c r="P26" s="57"/>
    </row>
    <row r="27" s="56" customFormat="1" ht="36" spans="1:16">
      <c r="A27" s="20">
        <v>18</v>
      </c>
      <c r="B27" s="25" t="s">
        <v>45</v>
      </c>
      <c r="C27" s="22" t="s">
        <v>40</v>
      </c>
      <c r="D27" s="71" t="s">
        <v>46</v>
      </c>
      <c r="E27" s="23">
        <v>2376.9</v>
      </c>
      <c r="F27" s="18">
        <v>20.38</v>
      </c>
      <c r="G27" s="40">
        <f t="shared" si="1"/>
        <v>48441.22</v>
      </c>
      <c r="H27" s="57"/>
      <c r="I27" s="57"/>
      <c r="J27" s="57"/>
      <c r="K27" s="57"/>
      <c r="L27" s="57"/>
      <c r="M27" s="57"/>
      <c r="N27" s="57"/>
      <c r="O27" s="57"/>
      <c r="P27" s="57"/>
    </row>
    <row r="28" s="56" customFormat="1" ht="48" spans="1:16">
      <c r="A28" s="20">
        <v>19</v>
      </c>
      <c r="B28" s="21" t="s">
        <v>47</v>
      </c>
      <c r="C28" s="17" t="s">
        <v>48</v>
      </c>
      <c r="D28" s="21" t="s">
        <v>49</v>
      </c>
      <c r="E28" s="23">
        <v>106</v>
      </c>
      <c r="F28" s="18">
        <v>844.07</v>
      </c>
      <c r="G28" s="40">
        <f t="shared" si="1"/>
        <v>89471.42</v>
      </c>
      <c r="H28" s="57"/>
      <c r="I28" s="57"/>
      <c r="J28" s="57"/>
      <c r="K28" s="57"/>
      <c r="L28" s="57"/>
      <c r="M28" s="57"/>
      <c r="N28" s="57"/>
      <c r="O28" s="57"/>
      <c r="P28" s="57"/>
    </row>
    <row r="29" s="56" customFormat="1" ht="18" customHeight="1" spans="1:16">
      <c r="A29" s="15" t="s">
        <v>50</v>
      </c>
      <c r="B29" s="16" t="s">
        <v>51</v>
      </c>
      <c r="C29" s="17"/>
      <c r="D29" s="17"/>
      <c r="E29" s="18"/>
      <c r="F29" s="18"/>
      <c r="G29" s="19">
        <f>SUM(G30:G30)</f>
        <v>60377.8</v>
      </c>
      <c r="H29" s="57"/>
      <c r="I29" s="57"/>
      <c r="J29" s="57"/>
      <c r="K29" s="57"/>
      <c r="L29" s="57"/>
      <c r="M29" s="57"/>
      <c r="N29" s="57"/>
      <c r="O29" s="57"/>
      <c r="P29" s="57"/>
    </row>
    <row r="30" s="56" customFormat="1" ht="60" spans="1:16">
      <c r="A30" s="39">
        <v>1</v>
      </c>
      <c r="B30" s="25" t="s">
        <v>53</v>
      </c>
      <c r="C30" s="22" t="s">
        <v>20</v>
      </c>
      <c r="D30" s="21" t="s">
        <v>37</v>
      </c>
      <c r="E30" s="23">
        <v>490</v>
      </c>
      <c r="F30" s="23">
        <v>123.22</v>
      </c>
      <c r="G30" s="24">
        <f>ROUND(E30*F30,2)</f>
        <v>60377.8</v>
      </c>
      <c r="H30" s="57"/>
      <c r="I30" s="57"/>
      <c r="J30" s="57"/>
      <c r="K30" s="57"/>
      <c r="L30" s="57"/>
      <c r="M30" s="57"/>
      <c r="N30" s="57"/>
      <c r="O30" s="57"/>
      <c r="P30" s="57"/>
    </row>
    <row r="31" s="56" customFormat="1" ht="18" customHeight="1" spans="1:16">
      <c r="A31" s="15" t="s">
        <v>54</v>
      </c>
      <c r="B31" s="16" t="s">
        <v>55</v>
      </c>
      <c r="C31" s="17"/>
      <c r="D31" s="17"/>
      <c r="E31" s="18"/>
      <c r="F31" s="18"/>
      <c r="G31" s="19">
        <f>SUM(G32:G32)</f>
        <v>23615.02</v>
      </c>
      <c r="H31" s="57"/>
      <c r="I31" s="57"/>
      <c r="J31" s="57"/>
      <c r="K31" s="57"/>
      <c r="L31" s="57"/>
      <c r="M31" s="57"/>
      <c r="N31" s="57"/>
      <c r="O31" s="57"/>
      <c r="P31" s="57"/>
    </row>
    <row r="32" s="56" customFormat="1" ht="60" spans="1:16">
      <c r="A32" s="20">
        <v>1</v>
      </c>
      <c r="B32" s="25" t="s">
        <v>56</v>
      </c>
      <c r="C32" s="22" t="s">
        <v>40</v>
      </c>
      <c r="D32" s="25" t="s">
        <v>41</v>
      </c>
      <c r="E32" s="23">
        <v>16.22</v>
      </c>
      <c r="F32" s="18">
        <v>1455.92</v>
      </c>
      <c r="G32" s="24">
        <f>ROUND(E32*F32,2)</f>
        <v>23615.02</v>
      </c>
      <c r="H32" s="57"/>
      <c r="I32" s="57"/>
      <c r="J32" s="57"/>
      <c r="K32" s="57"/>
      <c r="L32" s="57"/>
      <c r="M32" s="57"/>
      <c r="N32" s="57"/>
      <c r="O32" s="57"/>
      <c r="P32" s="57"/>
    </row>
    <row r="33" s="56" customFormat="1" ht="30" customHeight="1" spans="1:16">
      <c r="A33" s="15" t="s">
        <v>59</v>
      </c>
      <c r="B33" s="16" t="s">
        <v>64</v>
      </c>
      <c r="C33" s="17"/>
      <c r="D33" s="17"/>
      <c r="E33" s="18"/>
      <c r="F33" s="23"/>
      <c r="G33" s="31">
        <f>SUM(G34:G34)</f>
        <v>4518.58</v>
      </c>
      <c r="H33" s="57"/>
      <c r="I33" s="57"/>
      <c r="J33" s="57"/>
      <c r="K33" s="57"/>
      <c r="L33" s="57"/>
      <c r="M33" s="57"/>
      <c r="N33" s="57"/>
      <c r="O33" s="57"/>
      <c r="P33" s="57"/>
    </row>
    <row r="34" s="56" customFormat="1" ht="36" spans="1:16">
      <c r="A34" s="39">
        <v>1</v>
      </c>
      <c r="B34" s="25" t="s">
        <v>65</v>
      </c>
      <c r="C34" s="22" t="s">
        <v>40</v>
      </c>
      <c r="D34" s="21" t="s">
        <v>66</v>
      </c>
      <c r="E34" s="23">
        <v>517</v>
      </c>
      <c r="F34" s="18">
        <v>8.74</v>
      </c>
      <c r="G34" s="24">
        <f>ROUND(E34*F34,2)</f>
        <v>4518.58</v>
      </c>
      <c r="H34" s="57"/>
      <c r="I34" s="57"/>
      <c r="J34" s="57"/>
      <c r="K34" s="57"/>
      <c r="L34" s="57"/>
      <c r="M34" s="57"/>
      <c r="N34" s="57"/>
      <c r="O34" s="57"/>
      <c r="P34" s="57"/>
    </row>
    <row r="35" s="56" customFormat="1" ht="18" customHeight="1" spans="1:16">
      <c r="A35" s="15" t="s">
        <v>63</v>
      </c>
      <c r="B35" s="16" t="s">
        <v>89</v>
      </c>
      <c r="C35" s="22"/>
      <c r="D35" s="22"/>
      <c r="E35" s="23"/>
      <c r="F35" s="23"/>
      <c r="G35" s="31">
        <f>SUM(G36:G42)</f>
        <v>233582.34</v>
      </c>
      <c r="H35" s="57"/>
      <c r="I35" s="57"/>
      <c r="J35" s="57"/>
      <c r="K35" s="57"/>
      <c r="L35" s="57"/>
      <c r="M35" s="57"/>
      <c r="N35" s="57"/>
      <c r="O35" s="57"/>
      <c r="P35" s="57"/>
    </row>
    <row r="36" s="56" customFormat="1" ht="60" spans="1:16">
      <c r="A36" s="39">
        <v>1</v>
      </c>
      <c r="B36" s="25" t="s">
        <v>105</v>
      </c>
      <c r="C36" s="22" t="s">
        <v>20</v>
      </c>
      <c r="D36" s="21" t="s">
        <v>106</v>
      </c>
      <c r="E36" s="23">
        <v>1203</v>
      </c>
      <c r="F36" s="18">
        <v>109.8</v>
      </c>
      <c r="G36" s="24">
        <f>ROUND(E36*F36,2)</f>
        <v>132089.4</v>
      </c>
      <c r="H36" s="57"/>
      <c r="I36" s="57"/>
      <c r="J36" s="57"/>
      <c r="K36" s="57"/>
      <c r="L36" s="57"/>
      <c r="M36" s="57"/>
      <c r="N36" s="57"/>
      <c r="O36" s="57"/>
      <c r="P36" s="57"/>
    </row>
    <row r="37" s="56" customFormat="1" ht="48" spans="1:16">
      <c r="A37" s="39">
        <v>2</v>
      </c>
      <c r="B37" s="25" t="s">
        <v>107</v>
      </c>
      <c r="C37" s="22" t="s">
        <v>40</v>
      </c>
      <c r="D37" s="21" t="s">
        <v>33</v>
      </c>
      <c r="E37" s="23">
        <v>326</v>
      </c>
      <c r="F37" s="23">
        <v>143.77</v>
      </c>
      <c r="G37" s="24">
        <f>ROUND(E37*F37,2)</f>
        <v>46869.02</v>
      </c>
      <c r="H37" s="57"/>
      <c r="I37" s="57"/>
      <c r="J37" s="57"/>
      <c r="K37" s="57"/>
      <c r="L37" s="57"/>
      <c r="M37" s="57"/>
      <c r="N37" s="57"/>
      <c r="O37" s="57"/>
      <c r="P37" s="57"/>
    </row>
    <row r="38" s="56" customFormat="1" ht="18" customHeight="1" spans="1:16">
      <c r="A38" s="74" t="s">
        <v>61</v>
      </c>
      <c r="B38" s="75"/>
      <c r="C38" s="75"/>
      <c r="D38" s="75"/>
      <c r="E38" s="75"/>
      <c r="F38" s="75"/>
      <c r="G38" s="76"/>
      <c r="H38" s="57"/>
      <c r="I38" s="57"/>
      <c r="J38" s="57"/>
      <c r="K38" s="57"/>
      <c r="L38" s="57"/>
      <c r="M38" s="57"/>
      <c r="N38" s="57"/>
      <c r="O38" s="57"/>
      <c r="P38" s="57"/>
    </row>
    <row r="39" s="56" customFormat="1" ht="50" customHeight="1" spans="1:16">
      <c r="A39" s="59" t="s">
        <v>104</v>
      </c>
      <c r="B39" s="59"/>
      <c r="C39" s="59"/>
      <c r="D39" s="59"/>
      <c r="E39" s="60"/>
      <c r="F39" s="60"/>
      <c r="G39" s="60"/>
      <c r="H39" s="57"/>
      <c r="I39" s="57"/>
      <c r="J39" s="57"/>
      <c r="K39" s="57"/>
      <c r="L39" s="57"/>
      <c r="M39" s="57"/>
      <c r="N39" s="57"/>
      <c r="O39" s="57"/>
      <c r="P39" s="57"/>
    </row>
    <row r="40" s="56" customFormat="1" ht="18" customHeight="1" spans="1:16">
      <c r="A40" s="59"/>
      <c r="B40" s="59"/>
      <c r="C40" s="59"/>
      <c r="D40" s="59"/>
      <c r="E40" s="60"/>
      <c r="F40" s="6" t="s">
        <v>1</v>
      </c>
      <c r="G40" s="6"/>
      <c r="H40" s="57"/>
      <c r="I40" s="57"/>
      <c r="J40" s="57"/>
      <c r="K40" s="57"/>
      <c r="L40" s="57"/>
      <c r="M40" s="57"/>
      <c r="N40" s="57"/>
      <c r="O40" s="57"/>
      <c r="P40" s="57"/>
    </row>
    <row r="41" s="56" customFormat="1" ht="18" customHeight="1" spans="1:16">
      <c r="A41" s="61" t="s">
        <v>2</v>
      </c>
      <c r="B41" s="62" t="s">
        <v>3</v>
      </c>
      <c r="C41" s="62" t="s">
        <v>4</v>
      </c>
      <c r="D41" s="62" t="s">
        <v>5</v>
      </c>
      <c r="E41" s="63" t="s">
        <v>6</v>
      </c>
      <c r="F41" s="63" t="s">
        <v>7</v>
      </c>
      <c r="G41" s="64" t="s">
        <v>8</v>
      </c>
      <c r="H41" s="57"/>
      <c r="I41" s="57"/>
      <c r="J41" s="57"/>
      <c r="K41" s="57"/>
      <c r="L41" s="57"/>
      <c r="M41" s="57"/>
      <c r="N41" s="57"/>
      <c r="O41" s="57"/>
      <c r="P41" s="57"/>
    </row>
    <row r="42" s="56" customFormat="1" ht="60" spans="1:16">
      <c r="A42" s="39">
        <v>3</v>
      </c>
      <c r="B42" s="25" t="s">
        <v>108</v>
      </c>
      <c r="C42" s="22" t="s">
        <v>20</v>
      </c>
      <c r="D42" s="21" t="s">
        <v>35</v>
      </c>
      <c r="E42" s="23">
        <v>424</v>
      </c>
      <c r="F42" s="18">
        <v>128.83</v>
      </c>
      <c r="G42" s="24">
        <f>ROUND(E42*F42,2)</f>
        <v>54623.92</v>
      </c>
      <c r="H42" s="57"/>
      <c r="I42" s="57"/>
      <c r="J42" s="57"/>
      <c r="K42" s="57"/>
      <c r="L42" s="57"/>
      <c r="M42" s="57"/>
      <c r="N42" s="57"/>
      <c r="O42" s="57"/>
      <c r="P42" s="57"/>
    </row>
    <row r="43" s="56" customFormat="1" ht="20" customHeight="1" spans="1:16">
      <c r="A43" s="15" t="s">
        <v>67</v>
      </c>
      <c r="B43" s="26" t="s">
        <v>68</v>
      </c>
      <c r="C43" s="27" t="s">
        <v>69</v>
      </c>
      <c r="D43" s="27"/>
      <c r="E43" s="18">
        <v>0.5</v>
      </c>
      <c r="F43" s="18">
        <f>G4</f>
        <v>2395680.4</v>
      </c>
      <c r="G43" s="19">
        <f>ROUND(E43*F43/100,2)</f>
        <v>11978.4</v>
      </c>
      <c r="H43" s="57"/>
      <c r="I43" s="57"/>
      <c r="J43" s="57"/>
      <c r="K43" s="57"/>
      <c r="L43" s="57"/>
      <c r="M43" s="57"/>
      <c r="N43" s="57"/>
      <c r="O43" s="57"/>
      <c r="P43" s="57"/>
    </row>
    <row r="44" s="56" customFormat="1" ht="20" customHeight="1" spans="1:16">
      <c r="A44" s="15" t="s">
        <v>70</v>
      </c>
      <c r="B44" s="26" t="s">
        <v>71</v>
      </c>
      <c r="C44" s="17" t="s">
        <v>72</v>
      </c>
      <c r="D44" s="17"/>
      <c r="E44" s="18">
        <v>1</v>
      </c>
      <c r="F44" s="18">
        <v>30000</v>
      </c>
      <c r="G44" s="19">
        <f>ROUND(E44*F44,2)</f>
        <v>30000</v>
      </c>
      <c r="H44" s="57"/>
      <c r="I44" s="57"/>
      <c r="J44" s="57"/>
      <c r="K44" s="57"/>
      <c r="L44" s="57"/>
      <c r="M44" s="57"/>
      <c r="N44" s="57"/>
      <c r="O44" s="57"/>
      <c r="P44" s="57"/>
    </row>
    <row r="45" s="56" customFormat="1" ht="20" customHeight="1" spans="1:16">
      <c r="A45" s="15" t="s">
        <v>73</v>
      </c>
      <c r="B45" s="69" t="s">
        <v>74</v>
      </c>
      <c r="C45" s="27" t="s">
        <v>69</v>
      </c>
      <c r="D45" s="27"/>
      <c r="E45" s="18">
        <v>9</v>
      </c>
      <c r="F45" s="18">
        <f>G4+G43+G44</f>
        <v>2437658.8</v>
      </c>
      <c r="G45" s="19">
        <f>ROUND(E45*F45/100,2)</f>
        <v>219389.29</v>
      </c>
      <c r="H45" s="57"/>
      <c r="I45" s="57"/>
      <c r="J45" s="57"/>
      <c r="K45" s="57"/>
      <c r="L45" s="57"/>
      <c r="M45" s="57"/>
      <c r="N45" s="57"/>
      <c r="O45" s="57"/>
      <c r="P45" s="57"/>
    </row>
    <row r="46" s="56" customFormat="1" ht="20" customHeight="1" spans="1:16">
      <c r="A46" s="20"/>
      <c r="B46" s="69" t="s">
        <v>75</v>
      </c>
      <c r="C46" s="17"/>
      <c r="D46" s="17"/>
      <c r="E46" s="18"/>
      <c r="F46" s="18"/>
      <c r="G46" s="19">
        <f>G4+G43+G44+G45</f>
        <v>2657048.09</v>
      </c>
      <c r="H46" s="57"/>
      <c r="I46" s="57"/>
      <c r="J46" s="57"/>
      <c r="K46" s="57"/>
      <c r="L46" s="57"/>
      <c r="M46" s="57"/>
      <c r="N46" s="57"/>
      <c r="O46" s="57"/>
      <c r="P46" s="57"/>
    </row>
    <row r="47" s="56" customFormat="1" ht="20" customHeight="1" spans="1:16">
      <c r="A47" s="20"/>
      <c r="B47" s="17"/>
      <c r="C47" s="17"/>
      <c r="D47" s="17"/>
      <c r="E47" s="18"/>
      <c r="F47" s="18"/>
      <c r="G47" s="40"/>
      <c r="H47" s="57"/>
      <c r="I47" s="57"/>
      <c r="J47" s="57"/>
      <c r="K47" s="57"/>
      <c r="L47" s="57"/>
      <c r="M47" s="57"/>
      <c r="N47" s="57"/>
      <c r="O47" s="57"/>
      <c r="P47" s="57"/>
    </row>
    <row r="48" s="56" customFormat="1" ht="20" customHeight="1" spans="1:16">
      <c r="A48" s="20"/>
      <c r="B48" s="17"/>
      <c r="C48" s="17"/>
      <c r="D48" s="17"/>
      <c r="E48" s="18"/>
      <c r="F48" s="18"/>
      <c r="G48" s="40"/>
      <c r="H48" s="57"/>
      <c r="I48" s="57"/>
      <c r="J48" s="57"/>
      <c r="K48" s="57"/>
      <c r="L48" s="57"/>
      <c r="M48" s="57"/>
      <c r="N48" s="57"/>
      <c r="O48" s="57"/>
      <c r="P48" s="57"/>
    </row>
    <row r="49" s="56" customFormat="1" ht="20" customHeight="1" spans="1:16">
      <c r="A49" s="20"/>
      <c r="B49" s="17"/>
      <c r="C49" s="17"/>
      <c r="D49" s="17"/>
      <c r="E49" s="18"/>
      <c r="F49" s="18"/>
      <c r="G49" s="40"/>
      <c r="H49" s="57"/>
      <c r="I49" s="57"/>
      <c r="J49" s="57"/>
      <c r="K49" s="57"/>
      <c r="L49" s="57"/>
      <c r="M49" s="57"/>
      <c r="N49" s="57"/>
      <c r="O49" s="57"/>
      <c r="P49" s="57"/>
    </row>
    <row r="50" s="56" customFormat="1" ht="20" customHeight="1" spans="1:16">
      <c r="A50" s="20"/>
      <c r="B50" s="17"/>
      <c r="C50" s="17"/>
      <c r="D50" s="17"/>
      <c r="E50" s="18"/>
      <c r="F50" s="18"/>
      <c r="G50" s="40"/>
      <c r="H50" s="57"/>
      <c r="I50" s="57"/>
      <c r="J50" s="57"/>
      <c r="K50" s="57"/>
      <c r="L50" s="57"/>
      <c r="M50" s="57"/>
      <c r="N50" s="57"/>
      <c r="O50" s="57"/>
      <c r="P50" s="57"/>
    </row>
    <row r="51" s="56" customFormat="1" ht="20" customHeight="1" spans="1:16">
      <c r="A51" s="20"/>
      <c r="B51" s="17"/>
      <c r="C51" s="17"/>
      <c r="D51" s="17"/>
      <c r="E51" s="18"/>
      <c r="F51" s="18"/>
      <c r="G51" s="40"/>
      <c r="H51" s="57"/>
      <c r="I51" s="57"/>
      <c r="J51" s="57"/>
      <c r="K51" s="57"/>
      <c r="L51" s="57"/>
      <c r="M51" s="57"/>
      <c r="N51" s="57"/>
      <c r="O51" s="57"/>
      <c r="P51" s="57"/>
    </row>
    <row r="52" s="56" customFormat="1" ht="20" customHeight="1" spans="1:16">
      <c r="A52" s="20"/>
      <c r="B52" s="17"/>
      <c r="C52" s="17"/>
      <c r="D52" s="17"/>
      <c r="E52" s="18"/>
      <c r="F52" s="18"/>
      <c r="G52" s="40"/>
      <c r="H52" s="57"/>
      <c r="I52" s="57"/>
      <c r="J52" s="57"/>
      <c r="K52" s="57"/>
      <c r="L52" s="57"/>
      <c r="M52" s="57"/>
      <c r="N52" s="57"/>
      <c r="O52" s="57"/>
      <c r="P52" s="57"/>
    </row>
    <row r="53" s="56" customFormat="1" ht="18" customHeight="1" spans="1:16">
      <c r="A53" s="20"/>
      <c r="B53" s="17"/>
      <c r="C53" s="17"/>
      <c r="D53" s="17"/>
      <c r="E53" s="18"/>
      <c r="F53" s="18"/>
      <c r="G53" s="40"/>
      <c r="H53" s="57"/>
      <c r="I53" s="57"/>
      <c r="J53" s="57"/>
      <c r="K53" s="57"/>
      <c r="L53" s="57"/>
      <c r="M53" s="57"/>
      <c r="N53" s="57"/>
      <c r="O53" s="57"/>
      <c r="P53" s="57"/>
    </row>
    <row r="54" s="56" customFormat="1" ht="18" customHeight="1" spans="1:16">
      <c r="A54" s="20"/>
      <c r="B54" s="17"/>
      <c r="C54" s="17"/>
      <c r="D54" s="17"/>
      <c r="E54" s="18"/>
      <c r="F54" s="18"/>
      <c r="G54" s="40"/>
      <c r="H54" s="57"/>
      <c r="I54" s="57"/>
      <c r="J54" s="57"/>
      <c r="K54" s="57"/>
      <c r="L54" s="57"/>
      <c r="M54" s="57"/>
      <c r="N54" s="57"/>
      <c r="O54" s="57"/>
      <c r="P54" s="57"/>
    </row>
    <row r="55" s="56" customFormat="1" ht="18" customHeight="1" spans="1:16">
      <c r="A55" s="20"/>
      <c r="B55" s="17"/>
      <c r="C55" s="17"/>
      <c r="D55" s="17"/>
      <c r="E55" s="18"/>
      <c r="F55" s="18"/>
      <c r="G55" s="40"/>
      <c r="H55" s="57"/>
      <c r="I55" s="57"/>
      <c r="J55" s="57"/>
      <c r="K55" s="57"/>
      <c r="L55" s="57"/>
      <c r="M55" s="57"/>
      <c r="N55" s="57"/>
      <c r="O55" s="57"/>
      <c r="P55" s="57"/>
    </row>
    <row r="56" s="56" customFormat="1" ht="18" customHeight="1" spans="1:16">
      <c r="A56" s="20"/>
      <c r="B56" s="17"/>
      <c r="C56" s="17"/>
      <c r="D56" s="17"/>
      <c r="E56" s="18"/>
      <c r="F56" s="18"/>
      <c r="G56" s="40"/>
      <c r="H56" s="57"/>
      <c r="I56" s="57"/>
      <c r="J56" s="57"/>
      <c r="K56" s="57"/>
      <c r="L56" s="57"/>
      <c r="M56" s="57"/>
      <c r="N56" s="57"/>
      <c r="O56" s="57"/>
      <c r="P56" s="57"/>
    </row>
    <row r="57" s="56" customFormat="1" ht="18" customHeight="1" spans="1:16">
      <c r="A57" s="20"/>
      <c r="B57" s="17"/>
      <c r="C57" s="17"/>
      <c r="D57" s="17"/>
      <c r="E57" s="18"/>
      <c r="F57" s="18"/>
      <c r="G57" s="40"/>
      <c r="H57" s="57"/>
      <c r="I57" s="57"/>
      <c r="J57" s="57"/>
      <c r="K57" s="57"/>
      <c r="L57" s="57"/>
      <c r="M57" s="57"/>
      <c r="N57" s="57"/>
      <c r="O57" s="57"/>
      <c r="P57" s="57"/>
    </row>
    <row r="58" s="56" customFormat="1" ht="18" customHeight="1" spans="1:16">
      <c r="A58" s="20"/>
      <c r="B58" s="17"/>
      <c r="C58" s="17"/>
      <c r="D58" s="17"/>
      <c r="E58" s="18"/>
      <c r="F58" s="18"/>
      <c r="G58" s="40"/>
      <c r="H58" s="57"/>
      <c r="I58" s="57"/>
      <c r="J58" s="57"/>
      <c r="K58" s="57"/>
      <c r="L58" s="57"/>
      <c r="M58" s="57"/>
      <c r="N58" s="57"/>
      <c r="O58" s="57"/>
      <c r="P58" s="57"/>
    </row>
    <row r="59" s="56" customFormat="1" ht="18" customHeight="1" spans="1:16">
      <c r="A59" s="20"/>
      <c r="B59" s="17"/>
      <c r="C59" s="17"/>
      <c r="D59" s="17"/>
      <c r="E59" s="18"/>
      <c r="F59" s="18"/>
      <c r="G59" s="40"/>
      <c r="H59" s="57"/>
      <c r="I59" s="57"/>
      <c r="J59" s="57"/>
      <c r="K59" s="57"/>
      <c r="L59" s="57"/>
      <c r="M59" s="57"/>
      <c r="N59" s="57"/>
      <c r="O59" s="57"/>
      <c r="P59" s="57"/>
    </row>
    <row r="60" s="56" customFormat="1" ht="18" customHeight="1" spans="1:16">
      <c r="A60" s="20"/>
      <c r="B60" s="17"/>
      <c r="C60" s="17"/>
      <c r="D60" s="17"/>
      <c r="E60" s="18"/>
      <c r="F60" s="18"/>
      <c r="G60" s="40"/>
      <c r="H60" s="57"/>
      <c r="I60" s="57"/>
      <c r="J60" s="57"/>
      <c r="K60" s="57"/>
      <c r="L60" s="57"/>
      <c r="M60" s="57"/>
      <c r="N60" s="57"/>
      <c r="O60" s="57"/>
      <c r="P60" s="57"/>
    </row>
    <row r="61" s="56" customFormat="1" ht="18" customHeight="1" spans="1:16">
      <c r="A61" s="20"/>
      <c r="B61" s="17"/>
      <c r="C61" s="17"/>
      <c r="D61" s="17"/>
      <c r="E61" s="18"/>
      <c r="F61" s="18"/>
      <c r="G61" s="40"/>
      <c r="H61" s="57"/>
      <c r="I61" s="57"/>
      <c r="J61" s="57"/>
      <c r="K61" s="57"/>
      <c r="L61" s="57"/>
      <c r="M61" s="57"/>
      <c r="N61" s="57"/>
      <c r="O61" s="57"/>
      <c r="P61" s="57"/>
    </row>
    <row r="62" s="56" customFormat="1" ht="18" customHeight="1" spans="1:16">
      <c r="A62" s="20"/>
      <c r="B62" s="17"/>
      <c r="C62" s="17"/>
      <c r="D62" s="17"/>
      <c r="E62" s="18"/>
      <c r="F62" s="18"/>
      <c r="G62" s="40"/>
      <c r="H62" s="57"/>
      <c r="I62" s="57"/>
      <c r="J62" s="57"/>
      <c r="K62" s="57"/>
      <c r="L62" s="57"/>
      <c r="M62" s="57"/>
      <c r="N62" s="57"/>
      <c r="O62" s="57"/>
      <c r="P62" s="57"/>
    </row>
    <row r="63" s="56" customFormat="1" ht="18" customHeight="1" spans="1:16">
      <c r="A63" s="20"/>
      <c r="B63" s="17"/>
      <c r="C63" s="17"/>
      <c r="D63" s="17"/>
      <c r="E63" s="18"/>
      <c r="F63" s="18"/>
      <c r="G63" s="40"/>
      <c r="H63" s="57"/>
      <c r="I63" s="57"/>
      <c r="J63" s="57"/>
      <c r="K63" s="57"/>
      <c r="L63" s="57"/>
      <c r="M63" s="57"/>
      <c r="N63" s="57"/>
      <c r="O63" s="57"/>
      <c r="P63" s="57"/>
    </row>
    <row r="64" s="56" customFormat="1" ht="18" customHeight="1" spans="1:16">
      <c r="A64" s="20"/>
      <c r="B64" s="17"/>
      <c r="C64" s="17"/>
      <c r="D64" s="17"/>
      <c r="E64" s="18"/>
      <c r="F64" s="18"/>
      <c r="G64" s="40"/>
      <c r="H64" s="57"/>
      <c r="I64" s="57"/>
      <c r="J64" s="57"/>
      <c r="K64" s="57"/>
      <c r="L64" s="57"/>
      <c r="M64" s="57"/>
      <c r="N64" s="57"/>
      <c r="O64" s="57"/>
      <c r="P64" s="57"/>
    </row>
    <row r="65" s="56" customFormat="1" ht="18" customHeight="1" spans="1:16">
      <c r="A65" s="20"/>
      <c r="B65" s="17"/>
      <c r="C65" s="17"/>
      <c r="D65" s="17"/>
      <c r="E65" s="18"/>
      <c r="F65" s="18"/>
      <c r="G65" s="40"/>
      <c r="H65" s="57"/>
      <c r="I65" s="57"/>
      <c r="J65" s="57"/>
      <c r="K65" s="57"/>
      <c r="L65" s="57"/>
      <c r="M65" s="57"/>
      <c r="N65" s="57"/>
      <c r="O65" s="57"/>
      <c r="P65" s="57"/>
    </row>
    <row r="66" s="56" customFormat="1" ht="18" customHeight="1" spans="1:16">
      <c r="A66" s="20"/>
      <c r="B66" s="17"/>
      <c r="C66" s="17"/>
      <c r="D66" s="17"/>
      <c r="E66" s="18"/>
      <c r="F66" s="18"/>
      <c r="G66" s="40"/>
      <c r="H66" s="57"/>
      <c r="I66" s="57"/>
      <c r="J66" s="57"/>
      <c r="K66" s="57"/>
      <c r="L66" s="57"/>
      <c r="M66" s="57"/>
      <c r="N66" s="57"/>
      <c r="O66" s="57"/>
      <c r="P66" s="57"/>
    </row>
    <row r="67" s="56" customFormat="1" ht="18" customHeight="1" spans="1:16">
      <c r="A67" s="20"/>
      <c r="B67" s="17"/>
      <c r="C67" s="17"/>
      <c r="D67" s="17"/>
      <c r="E67" s="18"/>
      <c r="F67" s="18"/>
      <c r="G67" s="40"/>
      <c r="H67" s="57"/>
      <c r="I67" s="57"/>
      <c r="J67" s="57"/>
      <c r="K67" s="57"/>
      <c r="L67" s="57"/>
      <c r="M67" s="57"/>
      <c r="N67" s="57"/>
      <c r="O67" s="57"/>
      <c r="P67" s="57"/>
    </row>
    <row r="68" s="56" customFormat="1" ht="18" customHeight="1" spans="1:16">
      <c r="A68" s="20"/>
      <c r="B68" s="17"/>
      <c r="C68" s="17"/>
      <c r="D68" s="17"/>
      <c r="E68" s="18"/>
      <c r="F68" s="18"/>
      <c r="G68" s="40"/>
      <c r="H68" s="57"/>
      <c r="I68" s="57"/>
      <c r="J68" s="57"/>
      <c r="K68" s="57"/>
      <c r="L68" s="57"/>
      <c r="M68" s="57"/>
      <c r="N68" s="57"/>
      <c r="O68" s="57"/>
      <c r="P68" s="57"/>
    </row>
    <row r="69" s="56" customFormat="1" ht="18" customHeight="1" spans="1:16">
      <c r="A69" s="20"/>
      <c r="B69" s="17"/>
      <c r="C69" s="17"/>
      <c r="D69" s="17"/>
      <c r="E69" s="18"/>
      <c r="F69" s="18"/>
      <c r="G69" s="40"/>
      <c r="H69" s="57"/>
      <c r="I69" s="57"/>
      <c r="J69" s="57"/>
      <c r="K69" s="57"/>
      <c r="L69" s="57"/>
      <c r="M69" s="57"/>
      <c r="N69" s="57"/>
      <c r="O69" s="57"/>
      <c r="P69" s="57"/>
    </row>
    <row r="70" s="56" customFormat="1" ht="18" customHeight="1" spans="1:16">
      <c r="A70" s="20"/>
      <c r="B70" s="17"/>
      <c r="C70" s="17"/>
      <c r="D70" s="17"/>
      <c r="E70" s="18"/>
      <c r="F70" s="18"/>
      <c r="G70" s="40"/>
      <c r="H70" s="57"/>
      <c r="I70" s="57"/>
      <c r="J70" s="57"/>
      <c r="K70" s="57"/>
      <c r="L70" s="57"/>
      <c r="M70" s="57"/>
      <c r="N70" s="57"/>
      <c r="O70" s="57"/>
      <c r="P70" s="57"/>
    </row>
    <row r="71" s="56" customFormat="1" ht="18" customHeight="1" spans="1:16">
      <c r="A71" s="20"/>
      <c r="B71" s="17"/>
      <c r="C71" s="17"/>
      <c r="D71" s="17"/>
      <c r="E71" s="18"/>
      <c r="F71" s="18"/>
      <c r="G71" s="40"/>
      <c r="H71" s="57"/>
      <c r="I71" s="57"/>
      <c r="J71" s="57"/>
      <c r="K71" s="57"/>
      <c r="L71" s="57"/>
      <c r="M71" s="57"/>
      <c r="N71" s="57"/>
      <c r="O71" s="57"/>
      <c r="P71" s="57"/>
    </row>
    <row r="72" s="56" customFormat="1" ht="18" customHeight="1" spans="1:16">
      <c r="A72" s="20"/>
      <c r="B72" s="17"/>
      <c r="C72" s="17"/>
      <c r="D72" s="17"/>
      <c r="E72" s="18"/>
      <c r="F72" s="18"/>
      <c r="G72" s="40"/>
      <c r="H72" s="57"/>
      <c r="I72" s="57"/>
      <c r="J72" s="57"/>
      <c r="K72" s="57"/>
      <c r="L72" s="57"/>
      <c r="M72" s="57"/>
      <c r="N72" s="57"/>
      <c r="O72" s="57"/>
      <c r="P72" s="57"/>
    </row>
    <row r="73" ht="18" customHeight="1" spans="1:7">
      <c r="A73" s="20"/>
      <c r="B73" s="17"/>
      <c r="C73" s="17"/>
      <c r="D73" s="17"/>
      <c r="E73" s="18"/>
      <c r="F73" s="18"/>
      <c r="G73" s="40"/>
    </row>
    <row r="74" ht="18" customHeight="1" spans="1:7">
      <c r="A74" s="74" t="s">
        <v>76</v>
      </c>
      <c r="B74" s="75"/>
      <c r="C74" s="75"/>
      <c r="D74" s="75"/>
      <c r="E74" s="75"/>
      <c r="F74" s="75"/>
      <c r="G74" s="76"/>
    </row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</sheetData>
  <mergeCells count="9">
    <mergeCell ref="A1:G1"/>
    <mergeCell ref="F2:G2"/>
    <mergeCell ref="A19:G19"/>
    <mergeCell ref="A20:G20"/>
    <mergeCell ref="F21:G21"/>
    <mergeCell ref="A38:G38"/>
    <mergeCell ref="A39:G39"/>
    <mergeCell ref="F40:G40"/>
    <mergeCell ref="A74:G74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1"/>
  <sheetViews>
    <sheetView topLeftCell="A46" workbookViewId="0">
      <selection activeCell="H57" sqref="H57"/>
    </sheetView>
  </sheetViews>
  <sheetFormatPr defaultColWidth="9" defaultRowHeight="14"/>
  <cols>
    <col min="1" max="1" width="5.62727272727273" style="57" customWidth="1"/>
    <col min="2" max="2" width="22.6272727272727" style="57" customWidth="1"/>
    <col min="3" max="3" width="5.62727272727273" style="57" customWidth="1"/>
    <col min="4" max="4" width="20.6272727272727" style="57" customWidth="1"/>
    <col min="5" max="5" width="10.6272727272727" style="58" customWidth="1"/>
    <col min="6" max="6" width="12.6272727272727" style="58" customWidth="1"/>
    <col min="7" max="7" width="13.6272727272727" style="58" customWidth="1"/>
    <col min="8" max="16" width="9" style="57"/>
    <col min="17" max="16384" width="9" style="56"/>
  </cols>
  <sheetData>
    <row r="1" s="56" customFormat="1" ht="50" customHeight="1" spans="1:16">
      <c r="A1" s="59" t="s">
        <v>109</v>
      </c>
      <c r="B1" s="59"/>
      <c r="C1" s="59"/>
      <c r="D1" s="59"/>
      <c r="E1" s="60"/>
      <c r="F1" s="60"/>
      <c r="G1" s="60"/>
      <c r="H1" s="57"/>
      <c r="I1" s="57"/>
      <c r="J1" s="57"/>
      <c r="K1" s="57"/>
      <c r="L1" s="57"/>
      <c r="M1" s="57"/>
      <c r="N1" s="57"/>
      <c r="O1" s="57"/>
      <c r="P1" s="57"/>
    </row>
    <row r="2" s="56" customFormat="1" ht="20" customHeight="1" spans="1:16">
      <c r="A2" s="59"/>
      <c r="B2" s="59"/>
      <c r="C2" s="59"/>
      <c r="D2" s="59"/>
      <c r="E2" s="60"/>
      <c r="F2" s="6" t="s">
        <v>1</v>
      </c>
      <c r="G2" s="6"/>
      <c r="H2" s="57"/>
      <c r="I2" s="57"/>
      <c r="J2" s="57"/>
      <c r="K2" s="57"/>
      <c r="L2" s="57"/>
      <c r="M2" s="57"/>
      <c r="N2" s="57"/>
      <c r="O2" s="57"/>
      <c r="P2" s="57"/>
    </row>
    <row r="3" s="56" customFormat="1" ht="20" customHeight="1" spans="1:16">
      <c r="A3" s="61" t="s">
        <v>2</v>
      </c>
      <c r="B3" s="62" t="s">
        <v>3</v>
      </c>
      <c r="C3" s="62" t="s">
        <v>4</v>
      </c>
      <c r="D3" s="62" t="s">
        <v>5</v>
      </c>
      <c r="E3" s="63" t="s">
        <v>6</v>
      </c>
      <c r="F3" s="63" t="s">
        <v>7</v>
      </c>
      <c r="G3" s="64" t="s">
        <v>8</v>
      </c>
      <c r="H3" s="57"/>
      <c r="I3" s="57"/>
      <c r="J3" s="57"/>
      <c r="K3" s="57"/>
      <c r="L3" s="57"/>
      <c r="M3" s="57"/>
      <c r="N3" s="57"/>
      <c r="O3" s="57"/>
      <c r="P3" s="57"/>
    </row>
    <row r="4" s="56" customFormat="1" ht="20" customHeight="1" spans="1:16">
      <c r="A4" s="65" t="s">
        <v>9</v>
      </c>
      <c r="B4" s="66" t="s">
        <v>10</v>
      </c>
      <c r="C4" s="66"/>
      <c r="D4" s="66"/>
      <c r="E4" s="67"/>
      <c r="F4" s="67"/>
      <c r="G4" s="68">
        <f>G5+G29+G31+G33+G38+G45</f>
        <v>2002975.72</v>
      </c>
      <c r="H4" s="57"/>
      <c r="I4" s="57"/>
      <c r="J4" s="57"/>
      <c r="K4" s="57"/>
      <c r="L4" s="57"/>
      <c r="M4" s="57"/>
      <c r="N4" s="57"/>
      <c r="O4" s="57"/>
      <c r="P4" s="57"/>
    </row>
    <row r="5" s="56" customFormat="1" ht="20" customHeight="1" spans="1:16">
      <c r="A5" s="15" t="s">
        <v>11</v>
      </c>
      <c r="B5" s="16" t="s">
        <v>12</v>
      </c>
      <c r="C5" s="69"/>
      <c r="D5" s="69"/>
      <c r="E5" s="70"/>
      <c r="F5" s="18"/>
      <c r="G5" s="19">
        <f>SUM(G6:G28)</f>
        <v>1861240.83</v>
      </c>
      <c r="H5" s="57"/>
      <c r="I5" s="57"/>
      <c r="J5" s="57"/>
      <c r="K5" s="57"/>
      <c r="L5" s="57"/>
      <c r="M5" s="57"/>
      <c r="N5" s="57"/>
      <c r="O5" s="57"/>
      <c r="P5" s="57"/>
    </row>
    <row r="6" s="56" customFormat="1" ht="36" spans="1:16">
      <c r="A6" s="20">
        <v>1</v>
      </c>
      <c r="B6" s="25" t="s">
        <v>13</v>
      </c>
      <c r="C6" s="22" t="s">
        <v>14</v>
      </c>
      <c r="D6" s="25" t="s">
        <v>15</v>
      </c>
      <c r="E6" s="23">
        <v>3067</v>
      </c>
      <c r="F6" s="23">
        <v>26.39</v>
      </c>
      <c r="G6" s="40">
        <f t="shared" ref="G6:G16" si="0">ROUND(E6*F6,2)</f>
        <v>80938.13</v>
      </c>
      <c r="H6" s="57"/>
      <c r="I6" s="57"/>
      <c r="J6" s="57"/>
      <c r="K6" s="57"/>
      <c r="L6" s="57"/>
      <c r="M6" s="57"/>
      <c r="N6" s="57"/>
      <c r="O6" s="57"/>
      <c r="P6" s="57"/>
    </row>
    <row r="7" s="56" customFormat="1" ht="36" spans="1:16">
      <c r="A7" s="20">
        <v>2</v>
      </c>
      <c r="B7" s="25" t="s">
        <v>16</v>
      </c>
      <c r="C7" s="22" t="s">
        <v>17</v>
      </c>
      <c r="D7" s="25" t="s">
        <v>18</v>
      </c>
      <c r="E7" s="23">
        <v>1841</v>
      </c>
      <c r="F7" s="18">
        <v>1.24</v>
      </c>
      <c r="G7" s="40">
        <f t="shared" si="0"/>
        <v>2282.84</v>
      </c>
      <c r="H7" s="57"/>
      <c r="I7" s="57"/>
      <c r="J7" s="57"/>
      <c r="K7" s="57"/>
      <c r="L7" s="57"/>
      <c r="M7" s="57"/>
      <c r="N7" s="57"/>
      <c r="O7" s="57"/>
      <c r="P7" s="57"/>
    </row>
    <row r="8" s="56" customFormat="1" ht="48" spans="1:16">
      <c r="A8" s="20">
        <v>3</v>
      </c>
      <c r="B8" s="21" t="s">
        <v>19</v>
      </c>
      <c r="C8" s="17" t="s">
        <v>20</v>
      </c>
      <c r="D8" s="21" t="s">
        <v>21</v>
      </c>
      <c r="E8" s="18">
        <v>22144.54</v>
      </c>
      <c r="F8" s="18">
        <v>3.94</v>
      </c>
      <c r="G8" s="40">
        <f t="shared" si="0"/>
        <v>87249.49</v>
      </c>
      <c r="H8" s="57"/>
      <c r="I8" s="57"/>
      <c r="J8" s="57"/>
      <c r="K8" s="57"/>
      <c r="L8" s="57"/>
      <c r="M8" s="57"/>
      <c r="N8" s="57"/>
      <c r="O8" s="57"/>
      <c r="P8" s="57"/>
    </row>
    <row r="9" s="56" customFormat="1" ht="60" spans="1:16">
      <c r="A9" s="20">
        <v>4</v>
      </c>
      <c r="B9" s="71" t="s">
        <v>22</v>
      </c>
      <c r="C9" s="72" t="s">
        <v>20</v>
      </c>
      <c r="D9" s="21" t="s">
        <v>23</v>
      </c>
      <c r="E9" s="73">
        <v>36907.57</v>
      </c>
      <c r="F9" s="18">
        <v>10.61</v>
      </c>
      <c r="G9" s="40">
        <f t="shared" si="0"/>
        <v>391589.32</v>
      </c>
      <c r="H9" s="57"/>
      <c r="I9" s="57"/>
      <c r="J9" s="57"/>
      <c r="K9" s="57"/>
      <c r="L9" s="57"/>
      <c r="M9" s="57"/>
      <c r="N9" s="57"/>
      <c r="O9" s="57"/>
      <c r="P9" s="57"/>
    </row>
    <row r="10" s="56" customFormat="1" ht="60" spans="1:16">
      <c r="A10" s="20">
        <v>5</v>
      </c>
      <c r="B10" s="21" t="s">
        <v>24</v>
      </c>
      <c r="C10" s="17" t="s">
        <v>20</v>
      </c>
      <c r="D10" s="21" t="s">
        <v>23</v>
      </c>
      <c r="E10" s="18">
        <v>14763.03</v>
      </c>
      <c r="F10" s="18">
        <v>15.59</v>
      </c>
      <c r="G10" s="40">
        <f t="shared" si="0"/>
        <v>230155.64</v>
      </c>
      <c r="H10" s="57"/>
      <c r="I10" s="57"/>
      <c r="J10" s="57"/>
      <c r="K10" s="57"/>
      <c r="L10" s="57"/>
      <c r="M10" s="57"/>
      <c r="N10" s="57"/>
      <c r="O10" s="57"/>
      <c r="P10" s="57"/>
    </row>
    <row r="11" s="56" customFormat="1" ht="36" spans="1:16">
      <c r="A11" s="20">
        <v>6</v>
      </c>
      <c r="B11" s="21" t="s">
        <v>25</v>
      </c>
      <c r="C11" s="72" t="s">
        <v>20</v>
      </c>
      <c r="D11" s="71" t="s">
        <v>26</v>
      </c>
      <c r="E11" s="18">
        <v>68204</v>
      </c>
      <c r="F11" s="18">
        <v>5.85</v>
      </c>
      <c r="G11" s="40">
        <f t="shared" si="0"/>
        <v>398993.4</v>
      </c>
      <c r="H11" s="57"/>
      <c r="I11" s="57"/>
      <c r="J11" s="57"/>
      <c r="K11" s="57"/>
      <c r="L11" s="57"/>
      <c r="M11" s="57"/>
      <c r="N11" s="57"/>
      <c r="O11" s="57"/>
      <c r="P11" s="57"/>
    </row>
    <row r="12" s="56" customFormat="1" ht="36" spans="1:16">
      <c r="A12" s="20">
        <v>7</v>
      </c>
      <c r="B12" s="21" t="s">
        <v>27</v>
      </c>
      <c r="C12" s="17" t="s">
        <v>20</v>
      </c>
      <c r="D12" s="71" t="s">
        <v>26</v>
      </c>
      <c r="E12" s="18">
        <v>68204</v>
      </c>
      <c r="F12" s="18">
        <v>1.26</v>
      </c>
      <c r="G12" s="40">
        <f t="shared" si="0"/>
        <v>85937.04</v>
      </c>
      <c r="H12" s="57"/>
      <c r="I12" s="57"/>
      <c r="J12" s="57"/>
      <c r="K12" s="57"/>
      <c r="L12" s="57"/>
      <c r="M12" s="57"/>
      <c r="N12" s="57"/>
      <c r="O12" s="57"/>
      <c r="P12" s="57"/>
    </row>
    <row r="13" s="56" customFormat="1" ht="48" spans="1:16">
      <c r="A13" s="20">
        <v>8</v>
      </c>
      <c r="B13" s="21" t="s">
        <v>28</v>
      </c>
      <c r="C13" s="17" t="s">
        <v>20</v>
      </c>
      <c r="D13" s="21" t="s">
        <v>29</v>
      </c>
      <c r="E13" s="23">
        <v>2043.39</v>
      </c>
      <c r="F13" s="18">
        <v>2.94</v>
      </c>
      <c r="G13" s="40">
        <f t="shared" si="0"/>
        <v>6007.57</v>
      </c>
      <c r="H13" s="57"/>
      <c r="I13" s="57"/>
      <c r="J13" s="57"/>
      <c r="K13" s="57"/>
      <c r="L13" s="57"/>
      <c r="M13" s="57"/>
      <c r="N13" s="57"/>
      <c r="O13" s="57"/>
      <c r="P13" s="57"/>
    </row>
    <row r="14" s="56" customFormat="1" ht="48" spans="1:16">
      <c r="A14" s="20">
        <v>9</v>
      </c>
      <c r="B14" s="21" t="s">
        <v>30</v>
      </c>
      <c r="C14" s="17" t="s">
        <v>20</v>
      </c>
      <c r="D14" s="21" t="s">
        <v>29</v>
      </c>
      <c r="E14" s="23">
        <v>612.84</v>
      </c>
      <c r="F14" s="18">
        <v>4.53</v>
      </c>
      <c r="G14" s="40">
        <f t="shared" si="0"/>
        <v>2776.17</v>
      </c>
      <c r="H14" s="57"/>
      <c r="I14" s="57"/>
      <c r="J14" s="57"/>
      <c r="K14" s="57"/>
      <c r="L14" s="57"/>
      <c r="M14" s="57"/>
      <c r="N14" s="57"/>
      <c r="O14" s="57"/>
      <c r="P14" s="57"/>
    </row>
    <row r="15" s="56" customFormat="1" ht="36" spans="1:16">
      <c r="A15" s="20">
        <v>10</v>
      </c>
      <c r="B15" s="21" t="s">
        <v>31</v>
      </c>
      <c r="C15" s="17" t="s">
        <v>20</v>
      </c>
      <c r="D15" s="71" t="s">
        <v>26</v>
      </c>
      <c r="E15" s="23">
        <v>2954.91</v>
      </c>
      <c r="F15" s="18">
        <v>25</v>
      </c>
      <c r="G15" s="40">
        <f t="shared" si="0"/>
        <v>73872.75</v>
      </c>
      <c r="H15" s="57"/>
      <c r="I15" s="57"/>
      <c r="J15" s="57"/>
      <c r="K15" s="57"/>
      <c r="L15" s="57"/>
      <c r="M15" s="57"/>
      <c r="N15" s="57"/>
      <c r="O15" s="57"/>
      <c r="P15" s="57"/>
    </row>
    <row r="16" s="56" customFormat="1" ht="48" spans="1:16">
      <c r="A16" s="20">
        <v>11</v>
      </c>
      <c r="B16" s="25" t="s">
        <v>32</v>
      </c>
      <c r="C16" s="22" t="s">
        <v>20</v>
      </c>
      <c r="D16" s="21" t="s">
        <v>33</v>
      </c>
      <c r="E16" s="23">
        <v>384.5</v>
      </c>
      <c r="F16" s="18">
        <v>9.71</v>
      </c>
      <c r="G16" s="40">
        <f t="shared" si="0"/>
        <v>3733.5</v>
      </c>
      <c r="H16" s="57"/>
      <c r="I16" s="57"/>
      <c r="J16" s="57"/>
      <c r="K16" s="57"/>
      <c r="L16" s="57"/>
      <c r="M16" s="57"/>
      <c r="N16" s="57"/>
      <c r="O16" s="57"/>
      <c r="P16" s="57"/>
    </row>
    <row r="17" s="56" customFormat="1" ht="48" spans="1:16">
      <c r="A17" s="20">
        <v>12</v>
      </c>
      <c r="B17" s="25" t="s">
        <v>78</v>
      </c>
      <c r="C17" s="22" t="s">
        <v>20</v>
      </c>
      <c r="D17" s="21" t="s">
        <v>33</v>
      </c>
      <c r="E17" s="23">
        <v>10</v>
      </c>
      <c r="F17" s="18">
        <v>9.71</v>
      </c>
      <c r="G17" s="40">
        <v>97.1</v>
      </c>
      <c r="H17" s="57"/>
      <c r="I17" s="57"/>
      <c r="J17" s="57"/>
      <c r="K17" s="57"/>
      <c r="L17" s="57"/>
      <c r="M17" s="57"/>
      <c r="N17" s="57"/>
      <c r="O17" s="57"/>
      <c r="P17" s="57"/>
    </row>
    <row r="18" s="56" customFormat="1" ht="36" spans="1:16">
      <c r="A18" s="20">
        <v>13</v>
      </c>
      <c r="B18" s="21" t="s">
        <v>79</v>
      </c>
      <c r="C18" s="17" t="s">
        <v>17</v>
      </c>
      <c r="D18" s="21" t="s">
        <v>80</v>
      </c>
      <c r="E18" s="18">
        <v>1080</v>
      </c>
      <c r="F18" s="18">
        <v>13</v>
      </c>
      <c r="G18" s="40">
        <v>14040</v>
      </c>
      <c r="H18" s="57"/>
      <c r="I18" s="57"/>
      <c r="J18" s="57"/>
      <c r="K18" s="57"/>
      <c r="L18" s="57"/>
      <c r="M18" s="57"/>
      <c r="N18" s="57"/>
      <c r="O18" s="57"/>
      <c r="P18" s="57"/>
    </row>
    <row r="19" s="56" customFormat="1" ht="60" spans="1:16">
      <c r="A19" s="20">
        <v>14</v>
      </c>
      <c r="B19" s="25" t="s">
        <v>34</v>
      </c>
      <c r="C19" s="22" t="s">
        <v>20</v>
      </c>
      <c r="D19" s="21" t="s">
        <v>35</v>
      </c>
      <c r="E19" s="23">
        <v>197.7</v>
      </c>
      <c r="F19" s="18">
        <v>128.83</v>
      </c>
      <c r="G19" s="40">
        <f>ROUND(E19*F19,2)</f>
        <v>25469.69</v>
      </c>
      <c r="H19" s="57"/>
      <c r="I19" s="57"/>
      <c r="J19" s="57"/>
      <c r="K19" s="57"/>
      <c r="L19" s="57"/>
      <c r="M19" s="57"/>
      <c r="N19" s="57"/>
      <c r="O19" s="57"/>
      <c r="P19" s="57"/>
    </row>
    <row r="20" s="56" customFormat="1" ht="20" customHeight="1" spans="1:16">
      <c r="A20" s="74" t="s">
        <v>38</v>
      </c>
      <c r="B20" s="75"/>
      <c r="C20" s="75"/>
      <c r="D20" s="75"/>
      <c r="E20" s="75"/>
      <c r="F20" s="75"/>
      <c r="G20" s="76"/>
      <c r="H20" s="57"/>
      <c r="I20" s="57"/>
      <c r="J20" s="57"/>
      <c r="K20" s="57"/>
      <c r="L20" s="57"/>
      <c r="M20" s="57"/>
      <c r="N20" s="57"/>
      <c r="O20" s="57"/>
      <c r="P20" s="57"/>
    </row>
    <row r="21" s="56" customFormat="1" ht="51" customHeight="1" spans="1:16">
      <c r="A21" s="59" t="s">
        <v>109</v>
      </c>
      <c r="B21" s="59"/>
      <c r="C21" s="59"/>
      <c r="D21" s="59"/>
      <c r="E21" s="60"/>
      <c r="F21" s="60"/>
      <c r="G21" s="60"/>
      <c r="H21" s="57"/>
      <c r="I21" s="57"/>
      <c r="J21" s="57"/>
      <c r="K21" s="57"/>
      <c r="L21" s="57"/>
      <c r="M21" s="57"/>
      <c r="N21" s="57"/>
      <c r="O21" s="57"/>
      <c r="P21" s="57"/>
    </row>
    <row r="22" s="56" customFormat="1" ht="20" customHeight="1" spans="1:16">
      <c r="A22" s="59"/>
      <c r="B22" s="59"/>
      <c r="C22" s="59"/>
      <c r="D22" s="59"/>
      <c r="E22" s="60"/>
      <c r="F22" s="6" t="s">
        <v>1</v>
      </c>
      <c r="G22" s="6"/>
      <c r="H22" s="57"/>
      <c r="I22" s="57"/>
      <c r="J22" s="57"/>
      <c r="K22" s="57"/>
      <c r="L22" s="57"/>
      <c r="M22" s="57"/>
      <c r="N22" s="57"/>
      <c r="O22" s="57"/>
      <c r="P22" s="57"/>
    </row>
    <row r="23" s="56" customFormat="1" ht="20" customHeight="1" spans="1:16">
      <c r="A23" s="61" t="s">
        <v>2</v>
      </c>
      <c r="B23" s="62" t="s">
        <v>3</v>
      </c>
      <c r="C23" s="62" t="s">
        <v>4</v>
      </c>
      <c r="D23" s="62" t="s">
        <v>5</v>
      </c>
      <c r="E23" s="63" t="s">
        <v>6</v>
      </c>
      <c r="F23" s="63" t="s">
        <v>7</v>
      </c>
      <c r="G23" s="64" t="s">
        <v>8</v>
      </c>
      <c r="H23" s="57"/>
      <c r="I23" s="57"/>
      <c r="J23" s="57"/>
      <c r="K23" s="57"/>
      <c r="L23" s="57"/>
      <c r="M23" s="57"/>
      <c r="N23" s="57"/>
      <c r="O23" s="57"/>
      <c r="P23" s="57"/>
    </row>
    <row r="24" s="56" customFormat="1" ht="60" spans="1:16">
      <c r="A24" s="20">
        <v>15</v>
      </c>
      <c r="B24" s="25" t="s">
        <v>36</v>
      </c>
      <c r="C24" s="22" t="s">
        <v>20</v>
      </c>
      <c r="D24" s="21" t="s">
        <v>37</v>
      </c>
      <c r="E24" s="23">
        <v>156.46</v>
      </c>
      <c r="F24" s="18">
        <v>125.35</v>
      </c>
      <c r="G24" s="40">
        <f>ROUND(E24*F24,2)</f>
        <v>19612.26</v>
      </c>
      <c r="H24" s="57"/>
      <c r="I24" s="57"/>
      <c r="J24" s="57"/>
      <c r="K24" s="57"/>
      <c r="L24" s="57"/>
      <c r="M24" s="57"/>
      <c r="N24" s="57"/>
      <c r="O24" s="57"/>
      <c r="P24" s="57"/>
    </row>
    <row r="25" s="56" customFormat="1" ht="60" spans="1:16">
      <c r="A25" s="20">
        <v>18</v>
      </c>
      <c r="B25" s="25" t="s">
        <v>42</v>
      </c>
      <c r="C25" s="22" t="s">
        <v>20</v>
      </c>
      <c r="D25" s="21" t="s">
        <v>35</v>
      </c>
      <c r="E25" s="23">
        <v>1318.2</v>
      </c>
      <c r="F25" s="18">
        <v>128.83</v>
      </c>
      <c r="G25" s="40">
        <f>ROUND(E25*F25,2)</f>
        <v>169823.71</v>
      </c>
      <c r="H25" s="57"/>
      <c r="I25" s="57"/>
      <c r="J25" s="57"/>
      <c r="K25" s="57"/>
      <c r="L25" s="57"/>
      <c r="M25" s="57"/>
      <c r="N25" s="57"/>
      <c r="O25" s="57"/>
      <c r="P25" s="57"/>
    </row>
    <row r="26" s="56" customFormat="1" ht="60" spans="1:16">
      <c r="A26" s="20">
        <v>19</v>
      </c>
      <c r="B26" s="25" t="s">
        <v>43</v>
      </c>
      <c r="C26" s="22" t="s">
        <v>20</v>
      </c>
      <c r="D26" s="21" t="s">
        <v>44</v>
      </c>
      <c r="E26" s="23">
        <v>2011.8</v>
      </c>
      <c r="F26" s="18">
        <v>109.8</v>
      </c>
      <c r="G26" s="40">
        <f>ROUND(E26*F26,2)</f>
        <v>220895.64</v>
      </c>
      <c r="H26" s="57"/>
      <c r="I26" s="57"/>
      <c r="J26" s="57"/>
      <c r="K26" s="57"/>
      <c r="L26" s="57"/>
      <c r="M26" s="57"/>
      <c r="N26" s="57"/>
      <c r="O26" s="57"/>
      <c r="P26" s="57"/>
    </row>
    <row r="27" s="56" customFormat="1" ht="36" spans="1:16">
      <c r="A27" s="20">
        <v>20</v>
      </c>
      <c r="B27" s="25" t="s">
        <v>45</v>
      </c>
      <c r="C27" s="22" t="s">
        <v>40</v>
      </c>
      <c r="D27" s="71" t="s">
        <v>46</v>
      </c>
      <c r="E27" s="23">
        <v>852.8</v>
      </c>
      <c r="F27" s="18">
        <v>20.38</v>
      </c>
      <c r="G27" s="40">
        <f>ROUND(E27*F27,2)</f>
        <v>17380.06</v>
      </c>
      <c r="H27" s="57"/>
      <c r="I27" s="57"/>
      <c r="J27" s="57"/>
      <c r="K27" s="57"/>
      <c r="L27" s="57"/>
      <c r="M27" s="57"/>
      <c r="N27" s="57"/>
      <c r="O27" s="57"/>
      <c r="P27" s="57"/>
    </row>
    <row r="28" s="56" customFormat="1" ht="48" spans="1:16">
      <c r="A28" s="20">
        <v>21</v>
      </c>
      <c r="B28" s="21" t="s">
        <v>47</v>
      </c>
      <c r="C28" s="17" t="s">
        <v>48</v>
      </c>
      <c r="D28" s="21" t="s">
        <v>49</v>
      </c>
      <c r="E28" s="23">
        <v>36</v>
      </c>
      <c r="F28" s="18">
        <v>844.07</v>
      </c>
      <c r="G28" s="40">
        <f>ROUND(E28*F28,2)</f>
        <v>30386.52</v>
      </c>
      <c r="H28" s="57"/>
      <c r="I28" s="57"/>
      <c r="J28" s="57"/>
      <c r="K28" s="57"/>
      <c r="L28" s="57"/>
      <c r="M28" s="57"/>
      <c r="N28" s="57"/>
      <c r="O28" s="57"/>
      <c r="P28" s="57"/>
    </row>
    <row r="29" s="56" customFormat="1" ht="20" customHeight="1" spans="1:16">
      <c r="A29" s="15" t="s">
        <v>50</v>
      </c>
      <c r="B29" s="16" t="s">
        <v>51</v>
      </c>
      <c r="C29" s="17"/>
      <c r="D29" s="17"/>
      <c r="E29" s="18"/>
      <c r="F29" s="18"/>
      <c r="G29" s="19">
        <f>SUM(G30:G30)</f>
        <v>60377.8</v>
      </c>
      <c r="H29" s="57"/>
      <c r="I29" s="57"/>
      <c r="J29" s="57"/>
      <c r="K29" s="57"/>
      <c r="L29" s="57"/>
      <c r="M29" s="57"/>
      <c r="N29" s="57"/>
      <c r="O29" s="57"/>
      <c r="P29" s="57"/>
    </row>
    <row r="30" s="56" customFormat="1" ht="60" spans="1:16">
      <c r="A30" s="39">
        <v>1</v>
      </c>
      <c r="B30" s="25" t="s">
        <v>53</v>
      </c>
      <c r="C30" s="22" t="s">
        <v>20</v>
      </c>
      <c r="D30" s="21" t="s">
        <v>37</v>
      </c>
      <c r="E30" s="23">
        <v>490</v>
      </c>
      <c r="F30" s="23">
        <v>123.22</v>
      </c>
      <c r="G30" s="24">
        <f>ROUND(E30*F30,2)</f>
        <v>60377.8</v>
      </c>
      <c r="H30" s="57"/>
      <c r="I30" s="57"/>
      <c r="J30" s="57"/>
      <c r="K30" s="57"/>
      <c r="L30" s="57"/>
      <c r="M30" s="57"/>
      <c r="N30" s="57"/>
      <c r="O30" s="57"/>
      <c r="P30" s="57"/>
    </row>
    <row r="31" s="56" customFormat="1" ht="20" customHeight="1" spans="1:16">
      <c r="A31" s="15" t="s">
        <v>54</v>
      </c>
      <c r="B31" s="16" t="s">
        <v>55</v>
      </c>
      <c r="C31" s="17"/>
      <c r="D31" s="17"/>
      <c r="E31" s="18"/>
      <c r="F31" s="18"/>
      <c r="G31" s="19">
        <f>SUM(G32:G32)</f>
        <v>64788.44</v>
      </c>
      <c r="H31" s="57"/>
      <c r="I31" s="57"/>
      <c r="J31" s="57"/>
      <c r="K31" s="57"/>
      <c r="L31" s="57"/>
      <c r="M31" s="57"/>
      <c r="N31" s="57"/>
      <c r="O31" s="57"/>
      <c r="P31" s="57"/>
    </row>
    <row r="32" s="56" customFormat="1" ht="60" spans="1:16">
      <c r="A32" s="20">
        <v>1</v>
      </c>
      <c r="B32" s="25" t="s">
        <v>56</v>
      </c>
      <c r="C32" s="22" t="s">
        <v>40</v>
      </c>
      <c r="D32" s="25" t="s">
        <v>41</v>
      </c>
      <c r="E32" s="23">
        <v>44.5</v>
      </c>
      <c r="F32" s="18">
        <v>1455.92</v>
      </c>
      <c r="G32" s="24">
        <f>ROUND(E32*F32,2)</f>
        <v>64788.44</v>
      </c>
      <c r="H32" s="57"/>
      <c r="I32" s="57"/>
      <c r="J32" s="57"/>
      <c r="K32" s="57"/>
      <c r="L32" s="57"/>
      <c r="M32" s="57"/>
      <c r="N32" s="57"/>
      <c r="O32" s="57"/>
      <c r="P32" s="57"/>
    </row>
    <row r="33" s="56" customFormat="1" ht="20" customHeight="1" spans="1:16">
      <c r="A33" s="15" t="s">
        <v>59</v>
      </c>
      <c r="B33" s="16" t="s">
        <v>60</v>
      </c>
      <c r="C33" s="22"/>
      <c r="D33" s="22"/>
      <c r="E33" s="23"/>
      <c r="F33" s="23"/>
      <c r="G33" s="31">
        <v>1570.15</v>
      </c>
      <c r="H33" s="57"/>
      <c r="I33" s="57"/>
      <c r="J33" s="57"/>
      <c r="K33" s="57"/>
      <c r="L33" s="57"/>
      <c r="M33" s="57"/>
      <c r="N33" s="57"/>
      <c r="O33" s="57"/>
      <c r="P33" s="57"/>
    </row>
    <row r="34" s="56" customFormat="1" ht="48" spans="1:16">
      <c r="A34" s="39">
        <v>1</v>
      </c>
      <c r="B34" s="21" t="s">
        <v>19</v>
      </c>
      <c r="C34" s="17" t="s">
        <v>20</v>
      </c>
      <c r="D34" s="21" t="s">
        <v>21</v>
      </c>
      <c r="E34" s="23">
        <v>25</v>
      </c>
      <c r="F34" s="18">
        <v>3.94</v>
      </c>
      <c r="G34" s="24">
        <v>98.5</v>
      </c>
      <c r="H34" s="57"/>
      <c r="I34" s="57"/>
      <c r="J34" s="57"/>
      <c r="K34" s="57"/>
      <c r="L34" s="57"/>
      <c r="M34" s="57"/>
      <c r="N34" s="57"/>
      <c r="O34" s="57"/>
      <c r="P34" s="57"/>
    </row>
    <row r="35" s="56" customFormat="1" ht="60" spans="1:16">
      <c r="A35" s="39">
        <v>4</v>
      </c>
      <c r="B35" s="21" t="s">
        <v>24</v>
      </c>
      <c r="C35" s="17" t="s">
        <v>20</v>
      </c>
      <c r="D35" s="21" t="s">
        <v>23</v>
      </c>
      <c r="E35" s="23">
        <v>57</v>
      </c>
      <c r="F35" s="18">
        <v>15.59</v>
      </c>
      <c r="G35" s="24">
        <v>888.63</v>
      </c>
      <c r="H35" s="57"/>
      <c r="I35" s="57"/>
      <c r="J35" s="57"/>
      <c r="K35" s="57"/>
      <c r="L35" s="57"/>
      <c r="M35" s="57"/>
      <c r="N35" s="57"/>
      <c r="O35" s="57"/>
      <c r="P35" s="57"/>
    </row>
    <row r="36" s="56" customFormat="1" ht="36" spans="1:16">
      <c r="A36" s="39">
        <v>5</v>
      </c>
      <c r="B36" s="21" t="s">
        <v>25</v>
      </c>
      <c r="C36" s="72" t="s">
        <v>20</v>
      </c>
      <c r="D36" s="71" t="s">
        <v>26</v>
      </c>
      <c r="E36" s="23">
        <v>82</v>
      </c>
      <c r="F36" s="18">
        <v>5.85</v>
      </c>
      <c r="G36" s="24">
        <v>479.7</v>
      </c>
      <c r="H36" s="57"/>
      <c r="I36" s="57"/>
      <c r="J36" s="57"/>
      <c r="K36" s="57"/>
      <c r="L36" s="57"/>
      <c r="M36" s="57"/>
      <c r="N36" s="57"/>
      <c r="O36" s="57"/>
      <c r="P36" s="57"/>
    </row>
    <row r="37" s="56" customFormat="1" ht="36" spans="1:16">
      <c r="A37" s="39">
        <v>6</v>
      </c>
      <c r="B37" s="21" t="s">
        <v>27</v>
      </c>
      <c r="C37" s="17" t="s">
        <v>20</v>
      </c>
      <c r="D37" s="71" t="s">
        <v>26</v>
      </c>
      <c r="E37" s="23">
        <v>82</v>
      </c>
      <c r="F37" s="18">
        <v>1.26</v>
      </c>
      <c r="G37" s="24">
        <v>103.32</v>
      </c>
      <c r="H37" s="57"/>
      <c r="I37" s="57"/>
      <c r="J37" s="57"/>
      <c r="K37" s="57"/>
      <c r="L37" s="57"/>
      <c r="M37" s="57"/>
      <c r="N37" s="57"/>
      <c r="O37" s="57"/>
      <c r="P37" s="57"/>
    </row>
    <row r="38" s="56" customFormat="1" ht="30" customHeight="1" spans="1:16">
      <c r="A38" s="15" t="s">
        <v>63</v>
      </c>
      <c r="B38" s="16" t="s">
        <v>64</v>
      </c>
      <c r="C38" s="17"/>
      <c r="D38" s="17"/>
      <c r="E38" s="18"/>
      <c r="F38" s="23"/>
      <c r="G38" s="31">
        <f>SUM(G43:G44)</f>
        <v>9911.98</v>
      </c>
      <c r="H38" s="57"/>
      <c r="I38" s="57"/>
      <c r="J38" s="57"/>
      <c r="K38" s="57"/>
      <c r="L38" s="57"/>
      <c r="M38" s="57"/>
      <c r="N38" s="57"/>
      <c r="O38" s="57"/>
      <c r="P38" s="57"/>
    </row>
    <row r="39" s="56" customFormat="1" ht="20" customHeight="1" spans="1:16">
      <c r="A39" s="74" t="s">
        <v>61</v>
      </c>
      <c r="B39" s="75"/>
      <c r="C39" s="75"/>
      <c r="D39" s="75"/>
      <c r="E39" s="75"/>
      <c r="F39" s="75"/>
      <c r="G39" s="76"/>
      <c r="H39" s="57"/>
      <c r="I39" s="57"/>
      <c r="J39" s="57"/>
      <c r="K39" s="57"/>
      <c r="L39" s="57"/>
      <c r="M39" s="57"/>
      <c r="N39" s="57"/>
      <c r="O39" s="57"/>
      <c r="P39" s="57"/>
    </row>
    <row r="40" s="56" customFormat="1" ht="56" customHeight="1" spans="1:16">
      <c r="A40" s="59" t="s">
        <v>109</v>
      </c>
      <c r="B40" s="59"/>
      <c r="C40" s="59"/>
      <c r="D40" s="59"/>
      <c r="E40" s="60"/>
      <c r="F40" s="60"/>
      <c r="G40" s="60"/>
      <c r="H40" s="57"/>
      <c r="I40" s="57"/>
      <c r="J40" s="57"/>
      <c r="K40" s="57"/>
      <c r="L40" s="57"/>
      <c r="M40" s="57"/>
      <c r="N40" s="57"/>
      <c r="O40" s="57"/>
      <c r="P40" s="57"/>
    </row>
    <row r="41" s="56" customFormat="1" ht="20" customHeight="1" spans="1:16">
      <c r="A41" s="59"/>
      <c r="B41" s="59"/>
      <c r="C41" s="59"/>
      <c r="D41" s="59"/>
      <c r="E41" s="60"/>
      <c r="F41" s="6" t="s">
        <v>1</v>
      </c>
      <c r="G41" s="6"/>
      <c r="H41" s="57"/>
      <c r="I41" s="57"/>
      <c r="J41" s="57"/>
      <c r="K41" s="57"/>
      <c r="L41" s="57"/>
      <c r="M41" s="57"/>
      <c r="N41" s="57"/>
      <c r="O41" s="57"/>
      <c r="P41" s="57"/>
    </row>
    <row r="42" s="56" customFormat="1" ht="20" customHeight="1" spans="1:16">
      <c r="A42" s="61" t="s">
        <v>2</v>
      </c>
      <c r="B42" s="62" t="s">
        <v>3</v>
      </c>
      <c r="C42" s="62" t="s">
        <v>4</v>
      </c>
      <c r="D42" s="62" t="s">
        <v>5</v>
      </c>
      <c r="E42" s="63" t="s">
        <v>6</v>
      </c>
      <c r="F42" s="63" t="s">
        <v>7</v>
      </c>
      <c r="G42" s="64" t="s">
        <v>8</v>
      </c>
      <c r="H42" s="57"/>
      <c r="I42" s="57"/>
      <c r="J42" s="57"/>
      <c r="K42" s="57"/>
      <c r="L42" s="57"/>
      <c r="M42" s="57"/>
      <c r="N42" s="57"/>
      <c r="O42" s="57"/>
      <c r="P42" s="57"/>
    </row>
    <row r="43" s="56" customFormat="1" ht="60" spans="1:16">
      <c r="A43" s="20">
        <v>1</v>
      </c>
      <c r="B43" s="25" t="s">
        <v>110</v>
      </c>
      <c r="C43" s="22" t="s">
        <v>20</v>
      </c>
      <c r="D43" s="21" t="s">
        <v>85</v>
      </c>
      <c r="E43" s="23">
        <v>11.09</v>
      </c>
      <c r="F43" s="23">
        <v>486.33</v>
      </c>
      <c r="G43" s="24">
        <v>5393.4</v>
      </c>
      <c r="H43" s="57"/>
      <c r="I43" s="57"/>
      <c r="J43" s="57"/>
      <c r="K43" s="57"/>
      <c r="L43" s="57"/>
      <c r="M43" s="57"/>
      <c r="N43" s="57"/>
      <c r="O43" s="57"/>
      <c r="P43" s="57"/>
    </row>
    <row r="44" s="56" customFormat="1" ht="36" spans="1:16">
      <c r="A44" s="39">
        <v>2</v>
      </c>
      <c r="B44" s="25" t="s">
        <v>65</v>
      </c>
      <c r="C44" s="22" t="s">
        <v>40</v>
      </c>
      <c r="D44" s="21" t="s">
        <v>66</v>
      </c>
      <c r="E44" s="23">
        <v>517</v>
      </c>
      <c r="F44" s="18">
        <v>8.74</v>
      </c>
      <c r="G44" s="24">
        <f>ROUND(E44*F44,2)</f>
        <v>4518.58</v>
      </c>
      <c r="H44" s="57"/>
      <c r="I44" s="57"/>
      <c r="J44" s="57"/>
      <c r="K44" s="57"/>
      <c r="L44" s="57"/>
      <c r="M44" s="57"/>
      <c r="N44" s="57"/>
      <c r="O44" s="57"/>
      <c r="P44" s="57"/>
    </row>
    <row r="45" s="56" customFormat="1" ht="20" customHeight="1" spans="1:16">
      <c r="A45" s="15" t="s">
        <v>88</v>
      </c>
      <c r="B45" s="16" t="s">
        <v>89</v>
      </c>
      <c r="C45" s="22"/>
      <c r="D45" s="22"/>
      <c r="E45" s="23"/>
      <c r="F45" s="23"/>
      <c r="G45" s="31">
        <f>SUM(G46:G47)</f>
        <v>5086.52</v>
      </c>
      <c r="H45" s="57"/>
      <c r="I45" s="57"/>
      <c r="J45" s="57"/>
      <c r="K45" s="57"/>
      <c r="L45" s="57"/>
      <c r="M45" s="57"/>
      <c r="N45" s="57"/>
      <c r="O45" s="57"/>
      <c r="P45" s="57"/>
    </row>
    <row r="46" s="56" customFormat="1" ht="60" spans="1:16">
      <c r="A46" s="39">
        <v>1</v>
      </c>
      <c r="B46" s="25" t="s">
        <v>90</v>
      </c>
      <c r="C46" s="22" t="s">
        <v>20</v>
      </c>
      <c r="D46" s="21" t="s">
        <v>35</v>
      </c>
      <c r="E46" s="23">
        <v>30.75</v>
      </c>
      <c r="F46" s="18">
        <v>128.83</v>
      </c>
      <c r="G46" s="24">
        <v>3961.52</v>
      </c>
      <c r="H46" s="57"/>
      <c r="I46" s="57"/>
      <c r="J46" s="57"/>
      <c r="K46" s="57"/>
      <c r="L46" s="57"/>
      <c r="M46" s="57"/>
      <c r="N46" s="57"/>
      <c r="O46" s="57"/>
      <c r="P46" s="57"/>
    </row>
    <row r="47" s="56" customFormat="1" ht="60" spans="1:16">
      <c r="A47" s="39">
        <v>2</v>
      </c>
      <c r="B47" s="21" t="s">
        <v>91</v>
      </c>
      <c r="C47" s="17" t="s">
        <v>17</v>
      </c>
      <c r="D47" s="21" t="s">
        <v>37</v>
      </c>
      <c r="E47" s="23">
        <v>50</v>
      </c>
      <c r="F47" s="18">
        <v>22.5</v>
      </c>
      <c r="G47" s="24">
        <v>1125</v>
      </c>
      <c r="H47" s="57"/>
      <c r="I47" s="57"/>
      <c r="J47" s="57"/>
      <c r="K47" s="57"/>
      <c r="L47" s="57"/>
      <c r="M47" s="57"/>
      <c r="N47" s="57"/>
      <c r="O47" s="57"/>
      <c r="P47" s="57"/>
    </row>
    <row r="48" s="56" customFormat="1" ht="20" customHeight="1" spans="1:16">
      <c r="A48" s="15" t="s">
        <v>67</v>
      </c>
      <c r="B48" s="26" t="s">
        <v>68</v>
      </c>
      <c r="C48" s="27" t="s">
        <v>69</v>
      </c>
      <c r="D48" s="27"/>
      <c r="E48" s="18">
        <v>0.5</v>
      </c>
      <c r="F48" s="18">
        <f>G4</f>
        <v>2002975.72</v>
      </c>
      <c r="G48" s="19">
        <f>ROUND(E48*F48/100,2)</f>
        <v>10014.88</v>
      </c>
      <c r="H48" s="57"/>
      <c r="I48" s="57"/>
      <c r="J48" s="57"/>
      <c r="K48" s="57"/>
      <c r="L48" s="57"/>
      <c r="M48" s="57"/>
      <c r="N48" s="57"/>
      <c r="O48" s="57"/>
      <c r="P48" s="57"/>
    </row>
    <row r="49" s="56" customFormat="1" ht="20" customHeight="1" spans="1:16">
      <c r="A49" s="15" t="s">
        <v>70</v>
      </c>
      <c r="B49" s="26" t="s">
        <v>71</v>
      </c>
      <c r="C49" s="17" t="s">
        <v>72</v>
      </c>
      <c r="D49" s="17"/>
      <c r="E49" s="18">
        <v>1</v>
      </c>
      <c r="F49" s="18">
        <v>30000</v>
      </c>
      <c r="G49" s="19">
        <f>ROUND(E49*F49,2)</f>
        <v>30000</v>
      </c>
      <c r="H49" s="57"/>
      <c r="I49" s="57"/>
      <c r="J49" s="57"/>
      <c r="K49" s="57"/>
      <c r="L49" s="57"/>
      <c r="M49" s="57"/>
      <c r="N49" s="57"/>
      <c r="O49" s="57"/>
      <c r="P49" s="57"/>
    </row>
    <row r="50" s="56" customFormat="1" ht="20" customHeight="1" spans="1:16">
      <c r="A50" s="15" t="s">
        <v>73</v>
      </c>
      <c r="B50" s="69" t="s">
        <v>74</v>
      </c>
      <c r="C50" s="27" t="s">
        <v>69</v>
      </c>
      <c r="D50" s="27"/>
      <c r="E50" s="18">
        <v>9</v>
      </c>
      <c r="F50" s="18">
        <f>G4+G48+G49</f>
        <v>2042990.6</v>
      </c>
      <c r="G50" s="19">
        <f>ROUND(E50*F50/100,2)</f>
        <v>183869.15</v>
      </c>
      <c r="H50" s="57"/>
      <c r="I50" s="57"/>
      <c r="J50" s="57"/>
      <c r="K50" s="57"/>
      <c r="L50" s="57"/>
      <c r="M50" s="57"/>
      <c r="N50" s="57"/>
      <c r="O50" s="57"/>
      <c r="P50" s="57"/>
    </row>
    <row r="51" s="56" customFormat="1" ht="20" customHeight="1" spans="1:16">
      <c r="A51" s="20"/>
      <c r="B51" s="69" t="s">
        <v>75</v>
      </c>
      <c r="C51" s="17"/>
      <c r="D51" s="17"/>
      <c r="E51" s="18"/>
      <c r="F51" s="18"/>
      <c r="G51" s="19">
        <f>G4+G48+G49+G50</f>
        <v>2226859.75</v>
      </c>
      <c r="H51" s="57"/>
      <c r="I51" s="57"/>
      <c r="J51" s="57"/>
      <c r="K51" s="57"/>
      <c r="L51" s="57"/>
      <c r="M51" s="57"/>
      <c r="N51" s="57"/>
      <c r="O51" s="57"/>
      <c r="P51" s="57"/>
    </row>
    <row r="52" s="56" customFormat="1" ht="20" customHeight="1" spans="1:16">
      <c r="A52" s="20"/>
      <c r="B52" s="17"/>
      <c r="C52" s="17"/>
      <c r="D52" s="17"/>
      <c r="E52" s="18"/>
      <c r="F52" s="18"/>
      <c r="G52" s="40"/>
      <c r="H52" s="57"/>
      <c r="I52" s="57"/>
      <c r="J52" s="57"/>
      <c r="K52" s="57"/>
      <c r="L52" s="57"/>
      <c r="M52" s="57"/>
      <c r="N52" s="57"/>
      <c r="O52" s="57"/>
      <c r="P52" s="57"/>
    </row>
    <row r="53" s="56" customFormat="1" ht="20" customHeight="1" spans="1:16">
      <c r="A53" s="20"/>
      <c r="B53" s="17"/>
      <c r="C53" s="17"/>
      <c r="D53" s="17"/>
      <c r="E53" s="18"/>
      <c r="F53" s="18"/>
      <c r="G53" s="40"/>
      <c r="H53" s="57"/>
      <c r="I53" s="57"/>
      <c r="J53" s="57"/>
      <c r="K53" s="57"/>
      <c r="L53" s="57"/>
      <c r="M53" s="57"/>
      <c r="N53" s="57"/>
      <c r="O53" s="57"/>
      <c r="P53" s="57"/>
    </row>
    <row r="54" s="56" customFormat="1" ht="20" customHeight="1" spans="1:16">
      <c r="A54" s="20"/>
      <c r="B54" s="17"/>
      <c r="C54" s="17"/>
      <c r="D54" s="17"/>
      <c r="E54" s="18"/>
      <c r="F54" s="18"/>
      <c r="G54" s="40"/>
      <c r="H54" s="57"/>
      <c r="I54" s="57"/>
      <c r="J54" s="57"/>
      <c r="K54" s="57"/>
      <c r="L54" s="57"/>
      <c r="M54" s="57"/>
      <c r="N54" s="57"/>
      <c r="O54" s="57"/>
      <c r="P54" s="57"/>
    </row>
    <row r="55" s="56" customFormat="1" ht="20" customHeight="1" spans="1:16">
      <c r="A55" s="20"/>
      <c r="B55" s="17"/>
      <c r="C55" s="17"/>
      <c r="D55" s="17"/>
      <c r="E55" s="18"/>
      <c r="F55" s="18"/>
      <c r="G55" s="40"/>
      <c r="H55" s="57"/>
      <c r="I55" s="57"/>
      <c r="J55" s="57"/>
      <c r="K55" s="57"/>
      <c r="L55" s="57"/>
      <c r="M55" s="57"/>
      <c r="N55" s="57"/>
      <c r="O55" s="57"/>
      <c r="P55" s="57"/>
    </row>
    <row r="56" s="56" customFormat="1" ht="20" customHeight="1" spans="1:16">
      <c r="A56" s="20"/>
      <c r="B56" s="17"/>
      <c r="C56" s="17"/>
      <c r="D56" s="17"/>
      <c r="E56" s="18"/>
      <c r="F56" s="18"/>
      <c r="G56" s="40"/>
      <c r="H56" s="57"/>
      <c r="I56" s="57"/>
      <c r="J56" s="57"/>
      <c r="K56" s="57"/>
      <c r="L56" s="57"/>
      <c r="M56" s="57"/>
      <c r="N56" s="57"/>
      <c r="O56" s="57"/>
      <c r="P56" s="57"/>
    </row>
    <row r="57" s="56" customFormat="1" ht="20" customHeight="1" spans="1:16">
      <c r="A57" s="20"/>
      <c r="B57" s="17"/>
      <c r="C57" s="17"/>
      <c r="D57" s="17"/>
      <c r="E57" s="18"/>
      <c r="F57" s="18"/>
      <c r="G57" s="40"/>
      <c r="H57" s="57"/>
      <c r="I57" s="57"/>
      <c r="J57" s="57"/>
      <c r="K57" s="57"/>
      <c r="L57" s="57"/>
      <c r="M57" s="57"/>
      <c r="N57" s="57"/>
      <c r="O57" s="57"/>
      <c r="P57" s="57"/>
    </row>
    <row r="58" s="56" customFormat="1" ht="20" customHeight="1" spans="1:16">
      <c r="A58" s="20"/>
      <c r="B58" s="17"/>
      <c r="C58" s="17"/>
      <c r="D58" s="17"/>
      <c r="E58" s="18"/>
      <c r="F58" s="18"/>
      <c r="G58" s="40"/>
      <c r="H58" s="57"/>
      <c r="I58" s="57"/>
      <c r="J58" s="57"/>
      <c r="K58" s="57"/>
      <c r="L58" s="57"/>
      <c r="M58" s="57"/>
      <c r="N58" s="57"/>
      <c r="O58" s="57"/>
      <c r="P58" s="57"/>
    </row>
    <row r="59" s="56" customFormat="1" ht="20" customHeight="1" spans="1:16">
      <c r="A59" s="20"/>
      <c r="B59" s="17"/>
      <c r="C59" s="17"/>
      <c r="D59" s="17"/>
      <c r="E59" s="18"/>
      <c r="F59" s="18"/>
      <c r="G59" s="40"/>
      <c r="H59" s="57"/>
      <c r="I59" s="57"/>
      <c r="J59" s="57"/>
      <c r="K59" s="57"/>
      <c r="L59" s="57"/>
      <c r="M59" s="57"/>
      <c r="N59" s="57"/>
      <c r="O59" s="57"/>
      <c r="P59" s="57"/>
    </row>
    <row r="60" s="56" customFormat="1" ht="20" customHeight="1" spans="1:16">
      <c r="A60" s="20"/>
      <c r="B60" s="17"/>
      <c r="C60" s="17"/>
      <c r="D60" s="17"/>
      <c r="E60" s="18"/>
      <c r="F60" s="18"/>
      <c r="G60" s="40"/>
      <c r="H60" s="57"/>
      <c r="I60" s="57"/>
      <c r="J60" s="57"/>
      <c r="K60" s="57"/>
      <c r="L60" s="57"/>
      <c r="M60" s="57"/>
      <c r="N60" s="57"/>
      <c r="O60" s="57"/>
      <c r="P60" s="57"/>
    </row>
    <row r="61" s="56" customFormat="1" ht="20" customHeight="1" spans="1:16">
      <c r="A61" s="20"/>
      <c r="B61" s="17"/>
      <c r="C61" s="17"/>
      <c r="D61" s="17"/>
      <c r="E61" s="18"/>
      <c r="F61" s="18"/>
      <c r="G61" s="40"/>
      <c r="H61" s="57"/>
      <c r="I61" s="57"/>
      <c r="J61" s="57"/>
      <c r="K61" s="57"/>
      <c r="L61" s="57"/>
      <c r="M61" s="57"/>
      <c r="N61" s="57"/>
      <c r="O61" s="57"/>
      <c r="P61" s="57"/>
    </row>
    <row r="62" ht="20" customHeight="1" spans="1:7">
      <c r="A62" s="20"/>
      <c r="B62" s="17"/>
      <c r="C62" s="17"/>
      <c r="D62" s="17"/>
      <c r="E62" s="18"/>
      <c r="F62" s="18"/>
      <c r="G62" s="40"/>
    </row>
    <row r="63" ht="20" customHeight="1" spans="1:7">
      <c r="A63" s="20"/>
      <c r="B63" s="17"/>
      <c r="C63" s="17"/>
      <c r="D63" s="17"/>
      <c r="E63" s="18"/>
      <c r="F63" s="18"/>
      <c r="G63" s="40"/>
    </row>
    <row r="64" ht="20" customHeight="1" spans="1:7">
      <c r="A64" s="20"/>
      <c r="B64" s="17"/>
      <c r="C64" s="17"/>
      <c r="D64" s="17"/>
      <c r="E64" s="18"/>
      <c r="F64" s="18"/>
      <c r="G64" s="40"/>
    </row>
    <row r="65" ht="20" customHeight="1" spans="1:7">
      <c r="A65" s="20"/>
      <c r="B65" s="17"/>
      <c r="C65" s="17"/>
      <c r="D65" s="17"/>
      <c r="E65" s="18"/>
      <c r="F65" s="18"/>
      <c r="G65" s="40"/>
    </row>
    <row r="66" ht="20" customHeight="1" spans="1:7">
      <c r="A66" s="20"/>
      <c r="B66" s="17"/>
      <c r="C66" s="17"/>
      <c r="D66" s="17"/>
      <c r="E66" s="18"/>
      <c r="F66" s="18"/>
      <c r="G66" s="40"/>
    </row>
    <row r="67" ht="20" customHeight="1" spans="1:7">
      <c r="A67" s="20"/>
      <c r="B67" s="17"/>
      <c r="C67" s="17"/>
      <c r="D67" s="17"/>
      <c r="E67" s="18"/>
      <c r="F67" s="18"/>
      <c r="G67" s="40"/>
    </row>
    <row r="68" ht="20" customHeight="1" spans="1:7">
      <c r="A68" s="74" t="s">
        <v>76</v>
      </c>
      <c r="B68" s="75"/>
      <c r="C68" s="75"/>
      <c r="D68" s="75"/>
      <c r="E68" s="75"/>
      <c r="F68" s="75"/>
      <c r="G68" s="76"/>
    </row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</sheetData>
  <mergeCells count="9">
    <mergeCell ref="A1:G1"/>
    <mergeCell ref="F2:G2"/>
    <mergeCell ref="A20:G20"/>
    <mergeCell ref="A21:G21"/>
    <mergeCell ref="F22:G22"/>
    <mergeCell ref="A39:G39"/>
    <mergeCell ref="A40:G40"/>
    <mergeCell ref="F41:G41"/>
    <mergeCell ref="A68:G68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2"/>
  <sheetViews>
    <sheetView topLeftCell="A44" workbookViewId="0">
      <selection activeCell="D44" sqref="D44"/>
    </sheetView>
  </sheetViews>
  <sheetFormatPr defaultColWidth="9" defaultRowHeight="14"/>
  <cols>
    <col min="1" max="1" width="5.62727272727273" style="57" customWidth="1"/>
    <col min="2" max="2" width="22.6272727272727" style="57" customWidth="1"/>
    <col min="3" max="3" width="5.62727272727273" style="57" customWidth="1"/>
    <col min="4" max="4" width="20.6272727272727" style="57" customWidth="1"/>
    <col min="5" max="5" width="10.6272727272727" style="58" customWidth="1"/>
    <col min="6" max="6" width="12.6272727272727" style="58" customWidth="1"/>
    <col min="7" max="7" width="13.6272727272727" style="58" customWidth="1"/>
    <col min="8" max="16" width="9" style="57"/>
    <col min="17" max="16384" width="9" style="56"/>
  </cols>
  <sheetData>
    <row r="1" s="56" customFormat="1" ht="48" customHeight="1" spans="1:16">
      <c r="A1" s="59" t="s">
        <v>111</v>
      </c>
      <c r="B1" s="59"/>
      <c r="C1" s="59"/>
      <c r="D1" s="59"/>
      <c r="E1" s="60"/>
      <c r="F1" s="60"/>
      <c r="G1" s="60"/>
      <c r="H1" s="57"/>
      <c r="I1" s="57"/>
      <c r="J1" s="57"/>
      <c r="K1" s="57"/>
      <c r="L1" s="57"/>
      <c r="M1" s="57"/>
      <c r="N1" s="57"/>
      <c r="O1" s="57"/>
      <c r="P1" s="57"/>
    </row>
    <row r="2" s="56" customFormat="1" ht="20" customHeight="1" spans="1:16">
      <c r="A2" s="59"/>
      <c r="B2" s="59"/>
      <c r="C2" s="59"/>
      <c r="D2" s="59"/>
      <c r="E2" s="60"/>
      <c r="F2" s="6" t="s">
        <v>1</v>
      </c>
      <c r="G2" s="6"/>
      <c r="H2" s="57"/>
      <c r="I2" s="57"/>
      <c r="J2" s="57"/>
      <c r="K2" s="57"/>
      <c r="L2" s="57"/>
      <c r="M2" s="57"/>
      <c r="N2" s="57"/>
      <c r="O2" s="57"/>
      <c r="P2" s="57"/>
    </row>
    <row r="3" s="56" customFormat="1" ht="20" customHeight="1" spans="1:16">
      <c r="A3" s="61" t="s">
        <v>2</v>
      </c>
      <c r="B3" s="62" t="s">
        <v>3</v>
      </c>
      <c r="C3" s="62" t="s">
        <v>4</v>
      </c>
      <c r="D3" s="62" t="s">
        <v>5</v>
      </c>
      <c r="E3" s="63" t="s">
        <v>6</v>
      </c>
      <c r="F3" s="63" t="s">
        <v>7</v>
      </c>
      <c r="G3" s="64" t="s">
        <v>8</v>
      </c>
      <c r="H3" s="57"/>
      <c r="I3" s="57"/>
      <c r="J3" s="57"/>
      <c r="K3" s="57"/>
      <c r="L3" s="57"/>
      <c r="M3" s="57"/>
      <c r="N3" s="57"/>
      <c r="O3" s="57"/>
      <c r="P3" s="57"/>
    </row>
    <row r="4" s="56" customFormat="1" ht="20" customHeight="1" spans="1:16">
      <c r="A4" s="65" t="s">
        <v>9</v>
      </c>
      <c r="B4" s="66" t="s">
        <v>10</v>
      </c>
      <c r="C4" s="66"/>
      <c r="D4" s="66"/>
      <c r="E4" s="67"/>
      <c r="F4" s="67"/>
      <c r="G4" s="68">
        <f>G5+G29+G31+G33+G43</f>
        <v>3011205.3</v>
      </c>
      <c r="H4" s="57"/>
      <c r="I4" s="57"/>
      <c r="J4" s="57"/>
      <c r="K4" s="57"/>
      <c r="L4" s="57"/>
      <c r="M4" s="57"/>
      <c r="N4" s="57"/>
      <c r="O4" s="57"/>
      <c r="P4" s="57"/>
    </row>
    <row r="5" s="56" customFormat="1" ht="20" customHeight="1" spans="1:16">
      <c r="A5" s="15" t="s">
        <v>11</v>
      </c>
      <c r="B5" s="16" t="s">
        <v>12</v>
      </c>
      <c r="C5" s="69"/>
      <c r="D5" s="69"/>
      <c r="E5" s="70"/>
      <c r="F5" s="18"/>
      <c r="G5" s="19">
        <f>SUM(G6:G28)</f>
        <v>2756860.24</v>
      </c>
      <c r="H5" s="57"/>
      <c r="I5" s="57"/>
      <c r="J5" s="57"/>
      <c r="K5" s="57"/>
      <c r="L5" s="57"/>
      <c r="M5" s="57"/>
      <c r="N5" s="57"/>
      <c r="O5" s="57"/>
      <c r="P5" s="57"/>
    </row>
    <row r="6" s="56" customFormat="1" ht="36" spans="1:16">
      <c r="A6" s="20">
        <v>1</v>
      </c>
      <c r="B6" s="25" t="s">
        <v>13</v>
      </c>
      <c r="C6" s="22" t="s">
        <v>14</v>
      </c>
      <c r="D6" s="25" t="s">
        <v>15</v>
      </c>
      <c r="E6" s="23">
        <f>4068+1323</f>
        <v>5391</v>
      </c>
      <c r="F6" s="23">
        <v>26.39</v>
      </c>
      <c r="G6" s="40">
        <f t="shared" ref="G6:G27" si="0">ROUND(E6*F6,2)</f>
        <v>142268.49</v>
      </c>
      <c r="H6" s="57"/>
      <c r="I6" s="57"/>
      <c r="J6" s="57"/>
      <c r="K6" s="57"/>
      <c r="L6" s="57"/>
      <c r="M6" s="57"/>
      <c r="N6" s="57"/>
      <c r="O6" s="57"/>
      <c r="P6" s="57"/>
    </row>
    <row r="7" s="56" customFormat="1" ht="36" spans="1:16">
      <c r="A7" s="20">
        <v>2</v>
      </c>
      <c r="B7" s="25" t="s">
        <v>16</v>
      </c>
      <c r="C7" s="22" t="s">
        <v>17</v>
      </c>
      <c r="D7" s="25" t="s">
        <v>18</v>
      </c>
      <c r="E7" s="23">
        <f>2444+3802</f>
        <v>6246</v>
      </c>
      <c r="F7" s="18">
        <v>1.24</v>
      </c>
      <c r="G7" s="40">
        <f t="shared" si="0"/>
        <v>7745.04</v>
      </c>
      <c r="H7" s="57"/>
      <c r="I7" s="57"/>
      <c r="J7" s="57"/>
      <c r="K7" s="57"/>
      <c r="L7" s="57"/>
      <c r="M7" s="57"/>
      <c r="N7" s="57"/>
      <c r="O7" s="57"/>
      <c r="P7" s="57"/>
    </row>
    <row r="8" s="56" customFormat="1" ht="48" spans="1:16">
      <c r="A8" s="20">
        <v>3</v>
      </c>
      <c r="B8" s="21" t="s">
        <v>19</v>
      </c>
      <c r="C8" s="17" t="s">
        <v>20</v>
      </c>
      <c r="D8" s="21" t="s">
        <v>21</v>
      </c>
      <c r="E8" s="18">
        <f>14348.89+5381.3</f>
        <v>19730.19</v>
      </c>
      <c r="F8" s="18">
        <v>3.94</v>
      </c>
      <c r="G8" s="40">
        <f t="shared" si="0"/>
        <v>77736.95</v>
      </c>
      <c r="H8" s="57"/>
      <c r="I8" s="57"/>
      <c r="J8" s="57"/>
      <c r="K8" s="57"/>
      <c r="L8" s="57"/>
      <c r="M8" s="57"/>
      <c r="N8" s="57"/>
      <c r="O8" s="57"/>
      <c r="P8" s="57"/>
    </row>
    <row r="9" s="56" customFormat="1" ht="60" spans="1:16">
      <c r="A9" s="20">
        <v>4</v>
      </c>
      <c r="B9" s="71" t="s">
        <v>22</v>
      </c>
      <c r="C9" s="72" t="s">
        <v>20</v>
      </c>
      <c r="D9" s="21" t="s">
        <v>23</v>
      </c>
      <c r="E9" s="73">
        <f>35935.62+13389.85</f>
        <v>49325.47</v>
      </c>
      <c r="F9" s="18">
        <v>10.61</v>
      </c>
      <c r="G9" s="40">
        <f t="shared" si="0"/>
        <v>523343.24</v>
      </c>
      <c r="H9" s="57"/>
      <c r="I9" s="57"/>
      <c r="J9" s="57"/>
      <c r="K9" s="57"/>
      <c r="L9" s="57"/>
      <c r="M9" s="57"/>
      <c r="N9" s="57"/>
      <c r="O9" s="57"/>
      <c r="P9" s="57"/>
    </row>
    <row r="10" s="56" customFormat="1" ht="60" spans="1:16">
      <c r="A10" s="20">
        <v>5</v>
      </c>
      <c r="B10" s="21" t="s">
        <v>24</v>
      </c>
      <c r="C10" s="17" t="s">
        <v>20</v>
      </c>
      <c r="D10" s="21" t="s">
        <v>23</v>
      </c>
      <c r="E10" s="18">
        <f>21561.37+8033.92</f>
        <v>29595.29</v>
      </c>
      <c r="F10" s="18">
        <v>15.59</v>
      </c>
      <c r="G10" s="40">
        <f t="shared" si="0"/>
        <v>461390.57</v>
      </c>
      <c r="H10" s="57"/>
      <c r="I10" s="57"/>
      <c r="J10" s="57"/>
      <c r="K10" s="57"/>
      <c r="L10" s="57"/>
      <c r="M10" s="57"/>
      <c r="N10" s="57"/>
      <c r="O10" s="57"/>
      <c r="P10" s="57"/>
    </row>
    <row r="11" s="56" customFormat="1" ht="36" spans="1:16">
      <c r="A11" s="20">
        <v>6</v>
      </c>
      <c r="B11" s="21" t="s">
        <v>25</v>
      </c>
      <c r="C11" s="72" t="s">
        <v>20</v>
      </c>
      <c r="D11" s="71" t="s">
        <v>26</v>
      </c>
      <c r="E11" s="18">
        <f>E8+E9+E10-E13-E14-E15</f>
        <v>90180.18</v>
      </c>
      <c r="F11" s="18">
        <v>5.85</v>
      </c>
      <c r="G11" s="40">
        <f t="shared" si="0"/>
        <v>527554.05</v>
      </c>
      <c r="H11" s="57"/>
      <c r="I11" s="57"/>
      <c r="J11" s="57"/>
      <c r="K11" s="57"/>
      <c r="L11" s="57"/>
      <c r="M11" s="57"/>
      <c r="N11" s="57"/>
      <c r="O11" s="57"/>
      <c r="P11" s="57"/>
    </row>
    <row r="12" s="56" customFormat="1" ht="36" spans="1:16">
      <c r="A12" s="20">
        <v>7</v>
      </c>
      <c r="B12" s="21" t="s">
        <v>27</v>
      </c>
      <c r="C12" s="17" t="s">
        <v>20</v>
      </c>
      <c r="D12" s="71" t="s">
        <v>26</v>
      </c>
      <c r="E12" s="18">
        <f>E11</f>
        <v>90180.18</v>
      </c>
      <c r="F12" s="18">
        <v>1.26</v>
      </c>
      <c r="G12" s="40">
        <f t="shared" si="0"/>
        <v>113627.03</v>
      </c>
      <c r="H12" s="57"/>
      <c r="I12" s="57"/>
      <c r="J12" s="57"/>
      <c r="K12" s="57"/>
      <c r="L12" s="57"/>
      <c r="M12" s="57"/>
      <c r="N12" s="57"/>
      <c r="O12" s="57"/>
      <c r="P12" s="57"/>
    </row>
    <row r="13" s="56" customFormat="1" ht="48" spans="1:16">
      <c r="A13" s="20">
        <v>8</v>
      </c>
      <c r="B13" s="21" t="s">
        <v>28</v>
      </c>
      <c r="C13" s="17" t="s">
        <v>20</v>
      </c>
      <c r="D13" s="21" t="s">
        <v>29</v>
      </c>
      <c r="E13" s="23">
        <f>822.36+1090.09</f>
        <v>1912.45</v>
      </c>
      <c r="F13" s="18">
        <v>2.94</v>
      </c>
      <c r="G13" s="40">
        <f t="shared" si="0"/>
        <v>5622.6</v>
      </c>
      <c r="H13" s="57"/>
      <c r="I13" s="57"/>
      <c r="J13" s="57"/>
      <c r="K13" s="57"/>
      <c r="L13" s="57"/>
      <c r="M13" s="57"/>
      <c r="N13" s="57"/>
      <c r="O13" s="57"/>
      <c r="P13" s="57"/>
    </row>
    <row r="14" s="56" customFormat="1" ht="48" spans="1:16">
      <c r="A14" s="20">
        <v>9</v>
      </c>
      <c r="B14" s="21" t="s">
        <v>30</v>
      </c>
      <c r="C14" s="17" t="s">
        <v>20</v>
      </c>
      <c r="D14" s="21" t="s">
        <v>29</v>
      </c>
      <c r="E14" s="23">
        <f>670.61+790.3</f>
        <v>1460.91</v>
      </c>
      <c r="F14" s="18">
        <v>4.53</v>
      </c>
      <c r="G14" s="40">
        <f t="shared" si="0"/>
        <v>6617.92</v>
      </c>
      <c r="H14" s="57"/>
      <c r="I14" s="57"/>
      <c r="J14" s="57"/>
      <c r="K14" s="57"/>
      <c r="L14" s="57"/>
      <c r="M14" s="57"/>
      <c r="N14" s="57"/>
      <c r="O14" s="57"/>
      <c r="P14" s="57"/>
    </row>
    <row r="15" s="56" customFormat="1" ht="36" spans="1:16">
      <c r="A15" s="20">
        <v>10</v>
      </c>
      <c r="B15" s="21" t="s">
        <v>31</v>
      </c>
      <c r="C15" s="17" t="s">
        <v>20</v>
      </c>
      <c r="D15" s="71" t="s">
        <v>26</v>
      </c>
      <c r="E15" s="23">
        <v>5097.41</v>
      </c>
      <c r="F15" s="18">
        <v>25</v>
      </c>
      <c r="G15" s="40">
        <f t="shared" si="0"/>
        <v>127435.25</v>
      </c>
      <c r="H15" s="57"/>
      <c r="I15" s="57"/>
      <c r="J15" s="57"/>
      <c r="K15" s="57"/>
      <c r="L15" s="57"/>
      <c r="M15" s="57"/>
      <c r="N15" s="57"/>
      <c r="O15" s="57"/>
      <c r="P15" s="57"/>
    </row>
    <row r="16" s="56" customFormat="1" ht="48" spans="1:16">
      <c r="A16" s="20">
        <v>11</v>
      </c>
      <c r="B16" s="25" t="s">
        <v>32</v>
      </c>
      <c r="C16" s="22" t="s">
        <v>20</v>
      </c>
      <c r="D16" s="21" t="s">
        <v>33</v>
      </c>
      <c r="E16" s="23">
        <f>284.3+301.3</f>
        <v>585.6</v>
      </c>
      <c r="F16" s="18">
        <v>9.71</v>
      </c>
      <c r="G16" s="40">
        <f t="shared" si="0"/>
        <v>5686.18</v>
      </c>
      <c r="H16" s="57"/>
      <c r="I16" s="57"/>
      <c r="J16" s="57"/>
      <c r="K16" s="57"/>
      <c r="L16" s="57"/>
      <c r="M16" s="57"/>
      <c r="N16" s="57"/>
      <c r="O16" s="57"/>
      <c r="P16" s="57"/>
    </row>
    <row r="17" s="56" customFormat="1" ht="48" spans="1:16">
      <c r="A17" s="20">
        <v>12</v>
      </c>
      <c r="B17" s="25" t="s">
        <v>78</v>
      </c>
      <c r="C17" s="22" t="s">
        <v>20</v>
      </c>
      <c r="D17" s="21" t="s">
        <v>33</v>
      </c>
      <c r="E17" s="23">
        <v>12</v>
      </c>
      <c r="F17" s="18">
        <v>9.71</v>
      </c>
      <c r="G17" s="40">
        <f t="shared" si="0"/>
        <v>116.52</v>
      </c>
      <c r="H17" s="57"/>
      <c r="I17" s="57"/>
      <c r="J17" s="57"/>
      <c r="K17" s="57"/>
      <c r="L17" s="57"/>
      <c r="M17" s="57"/>
      <c r="N17" s="57"/>
      <c r="O17" s="57"/>
      <c r="P17" s="57"/>
    </row>
    <row r="18" s="56" customFormat="1" ht="36" spans="1:16">
      <c r="A18" s="20">
        <v>13</v>
      </c>
      <c r="B18" s="21" t="s">
        <v>79</v>
      </c>
      <c r="C18" s="17" t="s">
        <v>17</v>
      </c>
      <c r="D18" s="21" t="s">
        <v>80</v>
      </c>
      <c r="E18" s="18">
        <v>1440</v>
      </c>
      <c r="F18" s="18">
        <v>13</v>
      </c>
      <c r="G18" s="40">
        <f t="shared" si="0"/>
        <v>18720</v>
      </c>
      <c r="H18" s="57"/>
      <c r="I18" s="57"/>
      <c r="J18" s="58"/>
      <c r="K18" s="57"/>
      <c r="L18" s="57"/>
      <c r="M18" s="57"/>
      <c r="N18" s="57"/>
      <c r="O18" s="57"/>
      <c r="P18" s="57"/>
    </row>
    <row r="19" s="56" customFormat="1" ht="60" spans="1:16">
      <c r="A19" s="20">
        <v>14</v>
      </c>
      <c r="B19" s="25" t="s">
        <v>34</v>
      </c>
      <c r="C19" s="22" t="s">
        <v>20</v>
      </c>
      <c r="D19" s="21" t="s">
        <v>35</v>
      </c>
      <c r="E19" s="23">
        <f>209.4+94.05</f>
        <v>303.45</v>
      </c>
      <c r="F19" s="18">
        <v>128.83</v>
      </c>
      <c r="G19" s="40">
        <f t="shared" si="0"/>
        <v>39093.46</v>
      </c>
      <c r="H19" s="57"/>
      <c r="I19" s="57"/>
      <c r="J19" s="57"/>
      <c r="K19" s="57"/>
      <c r="L19" s="57"/>
      <c r="M19" s="57"/>
      <c r="N19" s="57"/>
      <c r="O19" s="57"/>
      <c r="P19" s="57"/>
    </row>
    <row r="20" s="56" customFormat="1" ht="20" customHeight="1" spans="1:16">
      <c r="A20" s="74" t="s">
        <v>38</v>
      </c>
      <c r="B20" s="75"/>
      <c r="C20" s="75"/>
      <c r="D20" s="75"/>
      <c r="E20" s="75"/>
      <c r="F20" s="75"/>
      <c r="G20" s="76"/>
      <c r="H20" s="57"/>
      <c r="I20" s="57"/>
      <c r="J20" s="57"/>
      <c r="K20" s="57"/>
      <c r="L20" s="57"/>
      <c r="M20" s="57"/>
      <c r="N20" s="57"/>
      <c r="O20" s="57"/>
      <c r="P20" s="57"/>
    </row>
    <row r="21" s="56" customFormat="1" ht="53" customHeight="1" spans="1:16">
      <c r="A21" s="59" t="s">
        <v>111</v>
      </c>
      <c r="B21" s="59"/>
      <c r="C21" s="59"/>
      <c r="D21" s="59"/>
      <c r="E21" s="60"/>
      <c r="F21" s="60"/>
      <c r="G21" s="60"/>
      <c r="H21" s="57"/>
      <c r="I21" s="57"/>
      <c r="J21" s="57"/>
      <c r="K21" s="57"/>
      <c r="L21" s="57"/>
      <c r="M21" s="57"/>
      <c r="N21" s="57"/>
      <c r="O21" s="57"/>
      <c r="P21" s="57"/>
    </row>
    <row r="22" s="56" customFormat="1" ht="20" customHeight="1" spans="1:16">
      <c r="A22" s="59"/>
      <c r="B22" s="59"/>
      <c r="C22" s="59"/>
      <c r="D22" s="59"/>
      <c r="E22" s="60"/>
      <c r="F22" s="6" t="s">
        <v>1</v>
      </c>
      <c r="G22" s="6"/>
      <c r="H22" s="57"/>
      <c r="I22" s="57"/>
      <c r="J22" s="57"/>
      <c r="K22" s="57"/>
      <c r="L22" s="57"/>
      <c r="M22" s="57"/>
      <c r="N22" s="57"/>
      <c r="O22" s="57"/>
      <c r="P22" s="57"/>
    </row>
    <row r="23" s="56" customFormat="1" ht="20" customHeight="1" spans="1:16">
      <c r="A23" s="61" t="s">
        <v>2</v>
      </c>
      <c r="B23" s="62" t="s">
        <v>3</v>
      </c>
      <c r="C23" s="62" t="s">
        <v>4</v>
      </c>
      <c r="D23" s="62" t="s">
        <v>5</v>
      </c>
      <c r="E23" s="63" t="s">
        <v>6</v>
      </c>
      <c r="F23" s="63" t="s">
        <v>7</v>
      </c>
      <c r="G23" s="64" t="s">
        <v>8</v>
      </c>
      <c r="H23" s="57"/>
      <c r="I23" s="57"/>
      <c r="J23" s="57"/>
      <c r="K23" s="57"/>
      <c r="L23" s="57"/>
      <c r="M23" s="57"/>
      <c r="N23" s="57"/>
      <c r="O23" s="57"/>
      <c r="P23" s="57"/>
    </row>
    <row r="24" s="56" customFormat="1" ht="60" spans="1:16">
      <c r="A24" s="20">
        <v>15</v>
      </c>
      <c r="B24" s="25" t="s">
        <v>36</v>
      </c>
      <c r="C24" s="22" t="s">
        <v>20</v>
      </c>
      <c r="D24" s="21" t="s">
        <v>37</v>
      </c>
      <c r="E24" s="23">
        <f>143.12+121.17</f>
        <v>264.29</v>
      </c>
      <c r="F24" s="18">
        <v>125.35</v>
      </c>
      <c r="G24" s="40">
        <f>ROUND(E24*F24,2)</f>
        <v>33128.75</v>
      </c>
      <c r="H24" s="57"/>
      <c r="I24" s="57"/>
      <c r="J24" s="57"/>
      <c r="K24" s="57"/>
      <c r="L24" s="57"/>
      <c r="M24" s="57"/>
      <c r="N24" s="57"/>
      <c r="O24" s="57"/>
      <c r="P24" s="57"/>
    </row>
    <row r="25" s="56" customFormat="1" ht="60" spans="1:16">
      <c r="A25" s="20">
        <v>16</v>
      </c>
      <c r="B25" s="25" t="s">
        <v>39</v>
      </c>
      <c r="C25" s="22" t="s">
        <v>40</v>
      </c>
      <c r="D25" s="25" t="s">
        <v>41</v>
      </c>
      <c r="E25" s="23">
        <v>5</v>
      </c>
      <c r="F25" s="18">
        <v>213.44</v>
      </c>
      <c r="G25" s="40">
        <f>ROUND(E25*F25,2)</f>
        <v>1067.2</v>
      </c>
      <c r="H25" s="57"/>
      <c r="I25" s="57"/>
      <c r="J25" s="57"/>
      <c r="K25" s="57"/>
      <c r="L25" s="57"/>
      <c r="M25" s="57"/>
      <c r="N25" s="57"/>
      <c r="O25" s="57"/>
      <c r="P25" s="57"/>
    </row>
    <row r="26" s="56" customFormat="1" ht="60" spans="1:16">
      <c r="A26" s="20">
        <v>17</v>
      </c>
      <c r="B26" s="25" t="s">
        <v>42</v>
      </c>
      <c r="C26" s="22" t="s">
        <v>20</v>
      </c>
      <c r="D26" s="21" t="s">
        <v>35</v>
      </c>
      <c r="E26" s="23">
        <f>1313.2+2637.4</f>
        <v>3950.6</v>
      </c>
      <c r="F26" s="18">
        <v>128.83</v>
      </c>
      <c r="G26" s="40">
        <f>ROUND(E26*F26,2)</f>
        <v>508955.8</v>
      </c>
      <c r="H26" s="57"/>
      <c r="I26" s="57"/>
      <c r="J26" s="57"/>
      <c r="K26" s="57"/>
      <c r="L26" s="57"/>
      <c r="M26" s="57"/>
      <c r="N26" s="57"/>
      <c r="O26" s="57"/>
      <c r="P26" s="57"/>
    </row>
    <row r="27" s="56" customFormat="1" ht="60" spans="1:16">
      <c r="A27" s="20">
        <v>18</v>
      </c>
      <c r="B27" s="25" t="s">
        <v>43</v>
      </c>
      <c r="C27" s="22" t="s">
        <v>20</v>
      </c>
      <c r="D27" s="21" t="s">
        <v>44</v>
      </c>
      <c r="E27" s="23">
        <f>657.1+547.7</f>
        <v>1204.8</v>
      </c>
      <c r="F27" s="18">
        <v>109.8</v>
      </c>
      <c r="G27" s="40">
        <f>ROUND(E27*F27,2)</f>
        <v>132287.04</v>
      </c>
      <c r="H27" s="57"/>
      <c r="I27" s="57"/>
      <c r="J27" s="57"/>
      <c r="K27" s="57"/>
      <c r="L27" s="57"/>
      <c r="M27" s="57"/>
      <c r="N27" s="57"/>
      <c r="O27" s="57"/>
      <c r="P27" s="57"/>
    </row>
    <row r="28" s="56" customFormat="1" ht="36" spans="1:16">
      <c r="A28" s="20">
        <v>19</v>
      </c>
      <c r="B28" s="25" t="s">
        <v>45</v>
      </c>
      <c r="C28" s="22" t="s">
        <v>40</v>
      </c>
      <c r="D28" s="71" t="s">
        <v>46</v>
      </c>
      <c r="E28" s="23">
        <f>637.6+562.8</f>
        <v>1200.4</v>
      </c>
      <c r="F28" s="18">
        <v>20.38</v>
      </c>
      <c r="G28" s="40">
        <f>ROUND(E28*F28,2)</f>
        <v>24464.15</v>
      </c>
      <c r="H28" s="57"/>
      <c r="I28" s="57"/>
      <c r="J28" s="57"/>
      <c r="K28" s="57"/>
      <c r="L28" s="57"/>
      <c r="M28" s="57"/>
      <c r="N28" s="57"/>
      <c r="O28" s="57"/>
      <c r="P28" s="57"/>
    </row>
    <row r="29" s="56" customFormat="1" ht="20" customHeight="1" spans="1:16">
      <c r="A29" s="15" t="s">
        <v>50</v>
      </c>
      <c r="B29" s="16" t="s">
        <v>51</v>
      </c>
      <c r="C29" s="17"/>
      <c r="D29" s="17"/>
      <c r="E29" s="18"/>
      <c r="F29" s="18"/>
      <c r="G29" s="19">
        <f>SUM(G30:G30)</f>
        <v>120755.6</v>
      </c>
      <c r="H29" s="57"/>
      <c r="I29" s="57"/>
      <c r="J29" s="57"/>
      <c r="K29" s="57"/>
      <c r="L29" s="57"/>
      <c r="M29" s="57"/>
      <c r="N29" s="57"/>
      <c r="O29" s="57"/>
      <c r="P29" s="57"/>
    </row>
    <row r="30" s="56" customFormat="1" ht="60" spans="1:16">
      <c r="A30" s="39">
        <v>1</v>
      </c>
      <c r="B30" s="25" t="s">
        <v>53</v>
      </c>
      <c r="C30" s="22" t="s">
        <v>20</v>
      </c>
      <c r="D30" s="21" t="s">
        <v>37</v>
      </c>
      <c r="E30" s="23">
        <f>490*2</f>
        <v>980</v>
      </c>
      <c r="F30" s="23">
        <v>123.22</v>
      </c>
      <c r="G30" s="24">
        <f>ROUND(E30*F30,2)</f>
        <v>120755.6</v>
      </c>
      <c r="H30" s="57"/>
      <c r="I30" s="57"/>
      <c r="J30" s="57"/>
      <c r="K30" s="57"/>
      <c r="L30" s="57"/>
      <c r="M30" s="57"/>
      <c r="N30" s="57"/>
      <c r="O30" s="57"/>
      <c r="P30" s="57"/>
    </row>
    <row r="31" s="56" customFormat="1" ht="20" customHeight="1" spans="1:16">
      <c r="A31" s="15" t="s">
        <v>54</v>
      </c>
      <c r="B31" s="16" t="s">
        <v>55</v>
      </c>
      <c r="C31" s="17"/>
      <c r="D31" s="17"/>
      <c r="E31" s="18"/>
      <c r="F31" s="18"/>
      <c r="G31" s="19">
        <f>SUM(G32:G32)</f>
        <v>57508.84</v>
      </c>
      <c r="H31" s="57"/>
      <c r="I31" s="57"/>
      <c r="J31" s="57"/>
      <c r="K31" s="57"/>
      <c r="L31" s="57"/>
      <c r="M31" s="57"/>
      <c r="N31" s="57"/>
      <c r="O31" s="57"/>
      <c r="P31" s="57"/>
    </row>
    <row r="32" s="56" customFormat="1" ht="60" spans="1:16">
      <c r="A32" s="20">
        <v>1</v>
      </c>
      <c r="B32" s="25" t="s">
        <v>56</v>
      </c>
      <c r="C32" s="22" t="s">
        <v>40</v>
      </c>
      <c r="D32" s="25" t="s">
        <v>41</v>
      </c>
      <c r="E32" s="23">
        <v>39.5</v>
      </c>
      <c r="F32" s="18">
        <v>1455.92</v>
      </c>
      <c r="G32" s="24">
        <f>ROUND(E32*F32,2)</f>
        <v>57508.84</v>
      </c>
      <c r="H32" s="57"/>
      <c r="I32" s="57"/>
      <c r="J32" s="57"/>
      <c r="K32" s="57"/>
      <c r="L32" s="57"/>
      <c r="M32" s="57"/>
      <c r="N32" s="57"/>
      <c r="O32" s="57"/>
      <c r="P32" s="57"/>
    </row>
    <row r="33" s="56" customFormat="1" ht="20" customHeight="1" spans="1:16">
      <c r="A33" s="15" t="s">
        <v>59</v>
      </c>
      <c r="B33" s="16" t="s">
        <v>60</v>
      </c>
      <c r="C33" s="22"/>
      <c r="D33" s="22"/>
      <c r="E33" s="23"/>
      <c r="F33" s="23"/>
      <c r="G33" s="31">
        <f>SUM(G34:G42)</f>
        <v>62559.5</v>
      </c>
      <c r="H33" s="57"/>
      <c r="I33" s="57"/>
      <c r="J33" s="57"/>
      <c r="K33" s="57"/>
      <c r="L33" s="57"/>
      <c r="M33" s="57"/>
      <c r="N33" s="57"/>
      <c r="O33" s="57"/>
      <c r="P33" s="57"/>
    </row>
    <row r="34" s="56" customFormat="1" ht="48" spans="1:16">
      <c r="A34" s="39">
        <v>1</v>
      </c>
      <c r="B34" s="21" t="s">
        <v>19</v>
      </c>
      <c r="C34" s="17" t="s">
        <v>20</v>
      </c>
      <c r="D34" s="21" t="s">
        <v>21</v>
      </c>
      <c r="E34" s="23">
        <v>794</v>
      </c>
      <c r="F34" s="18">
        <v>3.94</v>
      </c>
      <c r="G34" s="24">
        <f>ROUND(E34*F34,2)</f>
        <v>3128.36</v>
      </c>
      <c r="H34" s="57"/>
      <c r="I34" s="57"/>
      <c r="J34" s="57"/>
      <c r="K34" s="57"/>
      <c r="L34" s="57"/>
      <c r="M34" s="57"/>
      <c r="N34" s="57"/>
      <c r="O34" s="57"/>
      <c r="P34" s="57"/>
    </row>
    <row r="35" s="56" customFormat="1" ht="60" spans="1:16">
      <c r="A35" s="39">
        <v>2</v>
      </c>
      <c r="B35" s="21" t="s">
        <v>24</v>
      </c>
      <c r="C35" s="17" t="s">
        <v>20</v>
      </c>
      <c r="D35" s="21" t="s">
        <v>23</v>
      </c>
      <c r="E35" s="23">
        <v>1854</v>
      </c>
      <c r="F35" s="18">
        <v>15.59</v>
      </c>
      <c r="G35" s="24">
        <f>ROUND(E35*F35,2)</f>
        <v>28903.86</v>
      </c>
      <c r="H35" s="57"/>
      <c r="I35" s="57"/>
      <c r="J35" s="57"/>
      <c r="K35" s="57"/>
      <c r="L35" s="57"/>
      <c r="M35" s="57"/>
      <c r="N35" s="57"/>
      <c r="O35" s="57"/>
      <c r="P35" s="57"/>
    </row>
    <row r="36" s="56" customFormat="1" ht="36" spans="1:16">
      <c r="A36" s="39">
        <v>3</v>
      </c>
      <c r="B36" s="21" t="s">
        <v>25</v>
      </c>
      <c r="C36" s="72" t="s">
        <v>20</v>
      </c>
      <c r="D36" s="71" t="s">
        <v>26</v>
      </c>
      <c r="E36" s="23">
        <f>E34+E35</f>
        <v>2648</v>
      </c>
      <c r="F36" s="18">
        <v>5.85</v>
      </c>
      <c r="G36" s="24">
        <f>ROUND(E36*F36,2)</f>
        <v>15490.8</v>
      </c>
      <c r="H36" s="57"/>
      <c r="I36" s="57"/>
      <c r="J36" s="57"/>
      <c r="K36" s="57"/>
      <c r="L36" s="57"/>
      <c r="M36" s="57"/>
      <c r="N36" s="57"/>
      <c r="O36" s="57"/>
      <c r="P36" s="57"/>
    </row>
    <row r="37" s="56" customFormat="1" ht="36" spans="1:16">
      <c r="A37" s="39">
        <v>4</v>
      </c>
      <c r="B37" s="21" t="s">
        <v>27</v>
      </c>
      <c r="C37" s="17" t="s">
        <v>20</v>
      </c>
      <c r="D37" s="71" t="s">
        <v>26</v>
      </c>
      <c r="E37" s="23">
        <f>E36</f>
        <v>2648</v>
      </c>
      <c r="F37" s="18">
        <v>1.26</v>
      </c>
      <c r="G37" s="24">
        <f>ROUND(E37*F37,2)</f>
        <v>3336.48</v>
      </c>
      <c r="H37" s="57"/>
      <c r="I37" s="57"/>
      <c r="J37" s="57"/>
      <c r="K37" s="57"/>
      <c r="L37" s="57"/>
      <c r="M37" s="57"/>
      <c r="N37" s="57"/>
      <c r="O37" s="57"/>
      <c r="P37" s="57"/>
    </row>
    <row r="38" s="56" customFormat="1" ht="20" customHeight="1" spans="1:16">
      <c r="A38" s="74" t="s">
        <v>61</v>
      </c>
      <c r="B38" s="75"/>
      <c r="C38" s="75"/>
      <c r="D38" s="75"/>
      <c r="E38" s="75"/>
      <c r="F38" s="75"/>
      <c r="G38" s="76"/>
      <c r="H38" s="57"/>
      <c r="I38" s="57"/>
      <c r="J38" s="57"/>
      <c r="K38" s="57"/>
      <c r="L38" s="57"/>
      <c r="M38" s="57"/>
      <c r="N38" s="57"/>
      <c r="O38" s="57"/>
      <c r="P38" s="57"/>
    </row>
    <row r="39" s="56" customFormat="1" ht="47" customHeight="1" spans="1:16">
      <c r="A39" s="59" t="s">
        <v>111</v>
      </c>
      <c r="B39" s="59"/>
      <c r="C39" s="59"/>
      <c r="D39" s="59"/>
      <c r="E39" s="60"/>
      <c r="F39" s="60"/>
      <c r="G39" s="60"/>
      <c r="H39" s="57"/>
      <c r="I39" s="57"/>
      <c r="J39" s="57"/>
      <c r="K39" s="57"/>
      <c r="L39" s="57"/>
      <c r="M39" s="57"/>
      <c r="N39" s="57"/>
      <c r="O39" s="57"/>
      <c r="P39" s="57"/>
    </row>
    <row r="40" s="56" customFormat="1" ht="20" customHeight="1" spans="1:16">
      <c r="A40" s="59"/>
      <c r="B40" s="59"/>
      <c r="C40" s="59"/>
      <c r="D40" s="59"/>
      <c r="E40" s="60"/>
      <c r="F40" s="6" t="s">
        <v>1</v>
      </c>
      <c r="G40" s="6"/>
      <c r="H40" s="57"/>
      <c r="I40" s="57"/>
      <c r="J40" s="57"/>
      <c r="K40" s="57"/>
      <c r="L40" s="57"/>
      <c r="M40" s="57"/>
      <c r="N40" s="57"/>
      <c r="O40" s="57"/>
      <c r="P40" s="57"/>
    </row>
    <row r="41" s="56" customFormat="1" ht="20" customHeight="1" spans="1:16">
      <c r="A41" s="61" t="s">
        <v>2</v>
      </c>
      <c r="B41" s="62" t="s">
        <v>3</v>
      </c>
      <c r="C41" s="62" t="s">
        <v>4</v>
      </c>
      <c r="D41" s="62" t="s">
        <v>5</v>
      </c>
      <c r="E41" s="63" t="s">
        <v>6</v>
      </c>
      <c r="F41" s="63" t="s">
        <v>7</v>
      </c>
      <c r="G41" s="64" t="s">
        <v>8</v>
      </c>
      <c r="H41" s="57"/>
      <c r="I41" s="57"/>
      <c r="J41" s="57"/>
      <c r="K41" s="57"/>
      <c r="L41" s="57"/>
      <c r="M41" s="57"/>
      <c r="N41" s="57"/>
      <c r="O41" s="57"/>
      <c r="P41" s="57"/>
    </row>
    <row r="42" s="56" customFormat="1" ht="60" spans="1:16">
      <c r="A42" s="39">
        <v>5</v>
      </c>
      <c r="B42" s="21" t="s">
        <v>62</v>
      </c>
      <c r="C42" s="17" t="s">
        <v>17</v>
      </c>
      <c r="D42" s="21" t="s">
        <v>37</v>
      </c>
      <c r="E42" s="23">
        <v>520</v>
      </c>
      <c r="F42" s="18">
        <v>22.5</v>
      </c>
      <c r="G42" s="24">
        <f>ROUND(E42*F42,2)</f>
        <v>11700</v>
      </c>
      <c r="H42" s="57"/>
      <c r="I42" s="57"/>
      <c r="J42" s="57"/>
      <c r="K42" s="57"/>
      <c r="L42" s="57"/>
      <c r="M42" s="57"/>
      <c r="N42" s="57"/>
      <c r="O42" s="57"/>
      <c r="P42" s="57"/>
    </row>
    <row r="43" s="56" customFormat="1" ht="30" customHeight="1" spans="1:16">
      <c r="A43" s="15" t="s">
        <v>63</v>
      </c>
      <c r="B43" s="16" t="s">
        <v>64</v>
      </c>
      <c r="C43" s="17"/>
      <c r="D43" s="17"/>
      <c r="E43" s="18"/>
      <c r="F43" s="23"/>
      <c r="G43" s="31">
        <f>SUM(G44:G45)</f>
        <v>13521.12</v>
      </c>
      <c r="H43" s="57"/>
      <c r="I43" s="57"/>
      <c r="J43" s="57"/>
      <c r="K43" s="57"/>
      <c r="L43" s="57"/>
      <c r="M43" s="57"/>
      <c r="N43" s="57"/>
      <c r="O43" s="57"/>
      <c r="P43" s="57"/>
    </row>
    <row r="44" s="56" customFormat="1" ht="60" spans="1:16">
      <c r="A44" s="39">
        <v>1</v>
      </c>
      <c r="B44" s="25" t="s">
        <v>110</v>
      </c>
      <c r="C44" s="22" t="s">
        <v>20</v>
      </c>
      <c r="D44" s="21" t="s">
        <v>85</v>
      </c>
      <c r="E44" s="23">
        <v>9.22</v>
      </c>
      <c r="F44" s="23">
        <v>486.33</v>
      </c>
      <c r="G44" s="24">
        <f>ROUND(E44*F44,2)</f>
        <v>4483.96</v>
      </c>
      <c r="H44" s="57"/>
      <c r="I44" s="57"/>
      <c r="J44" s="57"/>
      <c r="K44" s="57"/>
      <c r="L44" s="57"/>
      <c r="M44" s="57"/>
      <c r="N44" s="57"/>
      <c r="O44" s="57"/>
      <c r="P44" s="57"/>
    </row>
    <row r="45" s="56" customFormat="1" ht="36" spans="1:16">
      <c r="A45" s="39">
        <v>2</v>
      </c>
      <c r="B45" s="25" t="s">
        <v>65</v>
      </c>
      <c r="C45" s="22" t="s">
        <v>40</v>
      </c>
      <c r="D45" s="21" t="s">
        <v>66</v>
      </c>
      <c r="E45" s="23">
        <f>517*2</f>
        <v>1034</v>
      </c>
      <c r="F45" s="18">
        <v>8.74</v>
      </c>
      <c r="G45" s="24">
        <f>ROUND(E45*F45,2)</f>
        <v>9037.16</v>
      </c>
      <c r="H45" s="57"/>
      <c r="I45" s="57"/>
      <c r="J45" s="57"/>
      <c r="K45" s="57"/>
      <c r="L45" s="57"/>
      <c r="M45" s="57"/>
      <c r="N45" s="57"/>
      <c r="O45" s="57"/>
      <c r="P45" s="57"/>
    </row>
    <row r="46" s="56" customFormat="1" ht="20" customHeight="1" spans="1:16">
      <c r="A46" s="15" t="s">
        <v>67</v>
      </c>
      <c r="B46" s="26" t="s">
        <v>68</v>
      </c>
      <c r="C46" s="27" t="s">
        <v>69</v>
      </c>
      <c r="D46" s="27"/>
      <c r="E46" s="18">
        <v>0.5</v>
      </c>
      <c r="F46" s="18">
        <f>G4</f>
        <v>3011205.3</v>
      </c>
      <c r="G46" s="19">
        <f>ROUND(E46*F46/100,2)</f>
        <v>15056.03</v>
      </c>
      <c r="H46" s="57"/>
      <c r="I46" s="57"/>
      <c r="J46" s="57"/>
      <c r="K46" s="57"/>
      <c r="L46" s="57"/>
      <c r="M46" s="57"/>
      <c r="N46" s="57"/>
      <c r="O46" s="57"/>
      <c r="P46" s="57"/>
    </row>
    <row r="47" s="56" customFormat="1" ht="20" customHeight="1" spans="1:16">
      <c r="A47" s="15" t="s">
        <v>70</v>
      </c>
      <c r="B47" s="26" t="s">
        <v>71</v>
      </c>
      <c r="C47" s="17" t="s">
        <v>72</v>
      </c>
      <c r="D47" s="17"/>
      <c r="E47" s="18">
        <v>1</v>
      </c>
      <c r="F47" s="18">
        <v>30000</v>
      </c>
      <c r="G47" s="19">
        <f>ROUND(E47*F47,2)</f>
        <v>30000</v>
      </c>
      <c r="H47" s="57"/>
      <c r="I47" s="57"/>
      <c r="J47" s="57"/>
      <c r="K47" s="57"/>
      <c r="L47" s="57"/>
      <c r="M47" s="57"/>
      <c r="N47" s="57"/>
      <c r="O47" s="57"/>
      <c r="P47" s="57"/>
    </row>
    <row r="48" s="56" customFormat="1" ht="20" customHeight="1" spans="1:16">
      <c r="A48" s="15" t="s">
        <v>73</v>
      </c>
      <c r="B48" s="69" t="s">
        <v>74</v>
      </c>
      <c r="C48" s="27" t="s">
        <v>69</v>
      </c>
      <c r="D48" s="27"/>
      <c r="E48" s="18">
        <v>9</v>
      </c>
      <c r="F48" s="18">
        <f>G4+G46+G47</f>
        <v>3056261.33</v>
      </c>
      <c r="G48" s="19">
        <f>ROUND(E48*F48/100,2)</f>
        <v>275063.52</v>
      </c>
      <c r="H48" s="57"/>
      <c r="I48" s="57"/>
      <c r="J48" s="57"/>
      <c r="K48" s="57"/>
      <c r="L48" s="57"/>
      <c r="M48" s="57"/>
      <c r="N48" s="57"/>
      <c r="O48" s="57"/>
      <c r="P48" s="57"/>
    </row>
    <row r="49" s="56" customFormat="1" ht="20" customHeight="1" spans="1:16">
      <c r="A49" s="20"/>
      <c r="B49" s="69" t="s">
        <v>75</v>
      </c>
      <c r="C49" s="17"/>
      <c r="D49" s="17"/>
      <c r="E49" s="18"/>
      <c r="F49" s="18"/>
      <c r="G49" s="19">
        <f>G4+G46+G47+G48</f>
        <v>3331324.85</v>
      </c>
      <c r="H49" s="57"/>
      <c r="I49" s="57"/>
      <c r="J49" s="57"/>
      <c r="K49" s="57"/>
      <c r="L49" s="57"/>
      <c r="M49" s="57"/>
      <c r="N49" s="57"/>
      <c r="O49" s="57"/>
      <c r="P49" s="57"/>
    </row>
    <row r="50" s="56" customFormat="1" ht="20" customHeight="1" spans="1:16">
      <c r="A50" s="20"/>
      <c r="B50" s="17"/>
      <c r="C50" s="17"/>
      <c r="D50" s="17"/>
      <c r="E50" s="18"/>
      <c r="F50" s="18"/>
      <c r="G50" s="40"/>
      <c r="H50" s="57"/>
      <c r="I50" s="57"/>
      <c r="J50" s="57"/>
      <c r="K50" s="57"/>
      <c r="L50" s="57"/>
      <c r="M50" s="57"/>
      <c r="N50" s="57"/>
      <c r="O50" s="57"/>
      <c r="P50" s="57"/>
    </row>
    <row r="51" s="56" customFormat="1" ht="20" customHeight="1" spans="1:16">
      <c r="A51" s="20"/>
      <c r="B51" s="17"/>
      <c r="C51" s="17"/>
      <c r="D51" s="17"/>
      <c r="E51" s="18"/>
      <c r="F51" s="18"/>
      <c r="G51" s="40"/>
      <c r="H51" s="57"/>
      <c r="I51" s="57"/>
      <c r="J51" s="57"/>
      <c r="K51" s="57"/>
      <c r="L51" s="57"/>
      <c r="M51" s="57"/>
      <c r="N51" s="57"/>
      <c r="O51" s="57"/>
      <c r="P51" s="57"/>
    </row>
    <row r="52" s="56" customFormat="1" ht="20" customHeight="1" spans="1:16">
      <c r="A52" s="20"/>
      <c r="B52" s="17"/>
      <c r="C52" s="17"/>
      <c r="D52" s="17"/>
      <c r="E52" s="18"/>
      <c r="F52" s="18"/>
      <c r="G52" s="40"/>
      <c r="H52" s="57"/>
      <c r="I52" s="57"/>
      <c r="J52" s="57"/>
      <c r="K52" s="57"/>
      <c r="L52" s="57"/>
      <c r="M52" s="57"/>
      <c r="N52" s="57"/>
      <c r="O52" s="57"/>
      <c r="P52" s="57"/>
    </row>
    <row r="53" s="56" customFormat="1" ht="20" customHeight="1" spans="1:16">
      <c r="A53" s="20"/>
      <c r="B53" s="17"/>
      <c r="C53" s="17"/>
      <c r="D53" s="17"/>
      <c r="E53" s="18"/>
      <c r="F53" s="18"/>
      <c r="G53" s="40"/>
      <c r="H53" s="57"/>
      <c r="I53" s="57"/>
      <c r="J53" s="57"/>
      <c r="K53" s="57"/>
      <c r="L53" s="57"/>
      <c r="M53" s="57"/>
      <c r="N53" s="57"/>
      <c r="O53" s="57"/>
      <c r="P53" s="57"/>
    </row>
    <row r="54" s="56" customFormat="1" ht="20" customHeight="1" spans="1:16">
      <c r="A54" s="20"/>
      <c r="B54" s="17"/>
      <c r="C54" s="17"/>
      <c r="D54" s="17"/>
      <c r="E54" s="18"/>
      <c r="F54" s="18"/>
      <c r="G54" s="40"/>
      <c r="H54" s="57"/>
      <c r="I54" s="57"/>
      <c r="J54" s="57"/>
      <c r="K54" s="57"/>
      <c r="L54" s="57"/>
      <c r="M54" s="57"/>
      <c r="N54" s="57"/>
      <c r="O54" s="57"/>
      <c r="P54" s="57"/>
    </row>
    <row r="55" s="56" customFormat="1" ht="20" customHeight="1" spans="1:16">
      <c r="A55" s="20"/>
      <c r="B55" s="17"/>
      <c r="C55" s="17"/>
      <c r="D55" s="17"/>
      <c r="E55" s="18"/>
      <c r="F55" s="18"/>
      <c r="G55" s="40"/>
      <c r="H55" s="57"/>
      <c r="I55" s="57"/>
      <c r="J55" s="57"/>
      <c r="K55" s="57"/>
      <c r="L55" s="57"/>
      <c r="M55" s="57"/>
      <c r="N55" s="57"/>
      <c r="O55" s="57"/>
      <c r="P55" s="57"/>
    </row>
    <row r="56" s="56" customFormat="1" ht="20" customHeight="1" spans="1:16">
      <c r="A56" s="20"/>
      <c r="B56" s="17"/>
      <c r="C56" s="17"/>
      <c r="D56" s="17"/>
      <c r="E56" s="18"/>
      <c r="F56" s="18"/>
      <c r="G56" s="40"/>
      <c r="H56" s="57"/>
      <c r="I56" s="57"/>
      <c r="J56" s="57"/>
      <c r="K56" s="57"/>
      <c r="L56" s="57"/>
      <c r="M56" s="57"/>
      <c r="N56" s="57"/>
      <c r="O56" s="57"/>
      <c r="P56" s="57"/>
    </row>
    <row r="57" s="56" customFormat="1" ht="20" customHeight="1" spans="1:16">
      <c r="A57" s="20"/>
      <c r="B57" s="17"/>
      <c r="C57" s="17"/>
      <c r="D57" s="17"/>
      <c r="E57" s="18"/>
      <c r="F57" s="18"/>
      <c r="G57" s="40"/>
      <c r="H57" s="57"/>
      <c r="I57" s="57"/>
      <c r="J57" s="57"/>
      <c r="K57" s="57"/>
      <c r="L57" s="57"/>
      <c r="M57" s="57"/>
      <c r="N57" s="57"/>
      <c r="O57" s="57"/>
      <c r="P57" s="57"/>
    </row>
    <row r="58" s="56" customFormat="1" ht="20" customHeight="1" spans="1:16">
      <c r="A58" s="20"/>
      <c r="B58" s="17"/>
      <c r="C58" s="17"/>
      <c r="D58" s="17"/>
      <c r="E58" s="18"/>
      <c r="F58" s="18"/>
      <c r="G58" s="40"/>
      <c r="H58" s="57"/>
      <c r="I58" s="57"/>
      <c r="J58" s="57"/>
      <c r="K58" s="57"/>
      <c r="L58" s="57"/>
      <c r="M58" s="57"/>
      <c r="N58" s="57"/>
      <c r="O58" s="57"/>
      <c r="P58" s="57"/>
    </row>
    <row r="59" s="56" customFormat="1" ht="20" customHeight="1" spans="1:16">
      <c r="A59" s="20"/>
      <c r="B59" s="17"/>
      <c r="C59" s="17"/>
      <c r="D59" s="17"/>
      <c r="E59" s="18"/>
      <c r="F59" s="18"/>
      <c r="G59" s="40"/>
      <c r="H59" s="57"/>
      <c r="I59" s="57"/>
      <c r="J59" s="57"/>
      <c r="K59" s="57"/>
      <c r="L59" s="57"/>
      <c r="M59" s="57"/>
      <c r="N59" s="57"/>
      <c r="O59" s="57"/>
      <c r="P59" s="57"/>
    </row>
    <row r="60" ht="20" customHeight="1" spans="1:7">
      <c r="A60" s="20"/>
      <c r="B60" s="17"/>
      <c r="C60" s="17"/>
      <c r="D60" s="17"/>
      <c r="E60" s="18"/>
      <c r="F60" s="18"/>
      <c r="G60" s="40"/>
    </row>
    <row r="61" ht="20" customHeight="1" spans="1:7">
      <c r="A61" s="20"/>
      <c r="B61" s="17"/>
      <c r="C61" s="17"/>
      <c r="D61" s="17"/>
      <c r="E61" s="18"/>
      <c r="F61" s="18"/>
      <c r="G61" s="40"/>
    </row>
    <row r="62" ht="18" customHeight="1" spans="1:7">
      <c r="A62" s="20"/>
      <c r="B62" s="17"/>
      <c r="C62" s="17"/>
      <c r="D62" s="17"/>
      <c r="E62" s="18"/>
      <c r="F62" s="18"/>
      <c r="G62" s="40"/>
    </row>
    <row r="63" ht="18" customHeight="1" spans="1:7">
      <c r="A63" s="20"/>
      <c r="B63" s="17"/>
      <c r="C63" s="17"/>
      <c r="D63" s="17"/>
      <c r="E63" s="18"/>
      <c r="F63" s="18"/>
      <c r="G63" s="40"/>
    </row>
    <row r="64" ht="18" customHeight="1" spans="1:7">
      <c r="A64" s="20"/>
      <c r="B64" s="17"/>
      <c r="C64" s="17"/>
      <c r="D64" s="17"/>
      <c r="E64" s="18"/>
      <c r="F64" s="18"/>
      <c r="G64" s="40"/>
    </row>
    <row r="65" ht="18" customHeight="1" spans="1:7">
      <c r="A65" s="20"/>
      <c r="B65" s="17"/>
      <c r="C65" s="17"/>
      <c r="D65" s="17"/>
      <c r="E65" s="18"/>
      <c r="F65" s="18"/>
      <c r="G65" s="40"/>
    </row>
    <row r="66" ht="18" customHeight="1" spans="1:7">
      <c r="A66" s="20"/>
      <c r="B66" s="17"/>
      <c r="C66" s="17"/>
      <c r="D66" s="17"/>
      <c r="E66" s="18"/>
      <c r="F66" s="18"/>
      <c r="G66" s="40"/>
    </row>
    <row r="67" ht="18" customHeight="1" spans="1:7">
      <c r="A67" s="20"/>
      <c r="B67" s="17"/>
      <c r="C67" s="17"/>
      <c r="D67" s="17"/>
      <c r="E67" s="18"/>
      <c r="F67" s="18"/>
      <c r="G67" s="40"/>
    </row>
    <row r="68" ht="18" customHeight="1" spans="1:7">
      <c r="A68" s="20"/>
      <c r="B68" s="17"/>
      <c r="C68" s="17"/>
      <c r="D68" s="17"/>
      <c r="E68" s="18"/>
      <c r="F68" s="18"/>
      <c r="G68" s="40"/>
    </row>
    <row r="69" ht="18" customHeight="1" spans="1:7">
      <c r="A69" s="20"/>
      <c r="B69" s="17"/>
      <c r="C69" s="17"/>
      <c r="D69" s="17"/>
      <c r="E69" s="18"/>
      <c r="F69" s="18"/>
      <c r="G69" s="40"/>
    </row>
    <row r="70" ht="18" customHeight="1" spans="1:7">
      <c r="A70" s="74" t="s">
        <v>76</v>
      </c>
      <c r="B70" s="75"/>
      <c r="C70" s="75"/>
      <c r="D70" s="75"/>
      <c r="E70" s="75"/>
      <c r="F70" s="75"/>
      <c r="G70" s="76"/>
    </row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</sheetData>
  <mergeCells count="9">
    <mergeCell ref="A1:G1"/>
    <mergeCell ref="F2:G2"/>
    <mergeCell ref="A20:G20"/>
    <mergeCell ref="A21:G21"/>
    <mergeCell ref="F22:G22"/>
    <mergeCell ref="A38:G38"/>
    <mergeCell ref="A39:G39"/>
    <mergeCell ref="F40:G40"/>
    <mergeCell ref="A70:G70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8"/>
  <sheetViews>
    <sheetView tabSelected="1" topLeftCell="A60" workbookViewId="0">
      <selection activeCell="F24" sqref="F24"/>
    </sheetView>
  </sheetViews>
  <sheetFormatPr defaultColWidth="9" defaultRowHeight="14"/>
  <cols>
    <col min="1" max="1" width="5.62727272727273" style="57" customWidth="1"/>
    <col min="2" max="2" width="22.6272727272727" style="57" customWidth="1"/>
    <col min="3" max="3" width="5.62727272727273" style="57" customWidth="1"/>
    <col min="4" max="4" width="20.6272727272727" style="57" customWidth="1"/>
    <col min="5" max="5" width="10.6272727272727" style="58" customWidth="1"/>
    <col min="6" max="6" width="12.6272727272727" style="58" customWidth="1"/>
    <col min="7" max="7" width="13.6272727272727" style="58" customWidth="1"/>
    <col min="8" max="16" width="9" style="57"/>
    <col min="17" max="16384" width="9" style="56"/>
  </cols>
  <sheetData>
    <row r="1" s="56" customFormat="1" ht="46" customHeight="1" spans="1:16">
      <c r="A1" s="59" t="s">
        <v>112</v>
      </c>
      <c r="B1" s="59"/>
      <c r="C1" s="59"/>
      <c r="D1" s="59"/>
      <c r="E1" s="60"/>
      <c r="F1" s="60"/>
      <c r="G1" s="60"/>
      <c r="H1" s="57"/>
      <c r="I1" s="57"/>
      <c r="J1" s="57"/>
      <c r="K1" s="57"/>
      <c r="L1" s="57"/>
      <c r="M1" s="57"/>
      <c r="N1" s="57"/>
      <c r="O1" s="57"/>
      <c r="P1" s="57"/>
    </row>
    <row r="2" s="56" customFormat="1" ht="18" customHeight="1" spans="1:16">
      <c r="A2" s="59"/>
      <c r="B2" s="59"/>
      <c r="C2" s="59"/>
      <c r="D2" s="59"/>
      <c r="E2" s="60"/>
      <c r="F2" s="6" t="s">
        <v>1</v>
      </c>
      <c r="G2" s="6"/>
      <c r="H2" s="57"/>
      <c r="I2" s="57"/>
      <c r="J2" s="57"/>
      <c r="K2" s="57"/>
      <c r="L2" s="57"/>
      <c r="M2" s="57"/>
      <c r="N2" s="57"/>
      <c r="O2" s="57"/>
      <c r="P2" s="57"/>
    </row>
    <row r="3" s="56" customFormat="1" ht="18" customHeight="1" spans="1:16">
      <c r="A3" s="61" t="s">
        <v>2</v>
      </c>
      <c r="B3" s="62" t="s">
        <v>3</v>
      </c>
      <c r="C3" s="62" t="s">
        <v>4</v>
      </c>
      <c r="D3" s="62" t="s">
        <v>5</v>
      </c>
      <c r="E3" s="63" t="s">
        <v>6</v>
      </c>
      <c r="F3" s="63" t="s">
        <v>7</v>
      </c>
      <c r="G3" s="64" t="s">
        <v>8</v>
      </c>
      <c r="H3" s="57"/>
      <c r="I3" s="57"/>
      <c r="J3" s="57"/>
      <c r="K3" s="57"/>
      <c r="L3" s="57"/>
      <c r="M3" s="57"/>
      <c r="N3" s="57"/>
      <c r="O3" s="57"/>
      <c r="P3" s="57"/>
    </row>
    <row r="4" s="56" customFormat="1" ht="18" customHeight="1" spans="1:16">
      <c r="A4" s="65" t="s">
        <v>9</v>
      </c>
      <c r="B4" s="66" t="s">
        <v>10</v>
      </c>
      <c r="C4" s="66"/>
      <c r="D4" s="66"/>
      <c r="E4" s="67"/>
      <c r="F4" s="67"/>
      <c r="G4" s="68">
        <f>G5+G31+G43+G46+G52+G54</f>
        <v>1796934.92</v>
      </c>
      <c r="H4" s="57"/>
      <c r="I4" s="57"/>
      <c r="J4" s="57"/>
      <c r="K4" s="57"/>
      <c r="L4" s="57"/>
      <c r="M4" s="57"/>
      <c r="N4" s="57"/>
      <c r="O4" s="57"/>
      <c r="P4" s="57"/>
    </row>
    <row r="5" s="56" customFormat="1" ht="18" customHeight="1" spans="1:16">
      <c r="A5" s="15" t="s">
        <v>11</v>
      </c>
      <c r="B5" s="16" t="s">
        <v>12</v>
      </c>
      <c r="C5" s="69"/>
      <c r="D5" s="69"/>
      <c r="E5" s="70"/>
      <c r="F5" s="18"/>
      <c r="G5" s="19">
        <f>SUM(G6:G30)</f>
        <v>1310455.36</v>
      </c>
      <c r="H5" s="57"/>
      <c r="I5" s="57"/>
      <c r="J5" s="57"/>
      <c r="K5" s="57"/>
      <c r="L5" s="57"/>
      <c r="M5" s="57"/>
      <c r="N5" s="57"/>
      <c r="O5" s="57"/>
      <c r="P5" s="57"/>
    </row>
    <row r="6" s="56" customFormat="1" ht="36" spans="1:16">
      <c r="A6" s="20">
        <v>1</v>
      </c>
      <c r="B6" s="25" t="s">
        <v>13</v>
      </c>
      <c r="C6" s="22" t="s">
        <v>14</v>
      </c>
      <c r="D6" s="25" t="s">
        <v>15</v>
      </c>
      <c r="E6" s="23">
        <f>385+1201</f>
        <v>1586</v>
      </c>
      <c r="F6" s="23">
        <v>26.39</v>
      </c>
      <c r="G6" s="40">
        <f t="shared" ref="G6:G27" si="0">ROUND(E6*F6,2)</f>
        <v>41854.54</v>
      </c>
      <c r="H6" s="57"/>
      <c r="I6" s="57"/>
      <c r="J6" s="57"/>
      <c r="K6" s="57"/>
      <c r="L6" s="57"/>
      <c r="M6" s="57"/>
      <c r="N6" s="57"/>
      <c r="O6" s="57"/>
      <c r="P6" s="57"/>
    </row>
    <row r="7" s="56" customFormat="1" ht="36" spans="1:16">
      <c r="A7" s="20">
        <v>2</v>
      </c>
      <c r="B7" s="25" t="s">
        <v>16</v>
      </c>
      <c r="C7" s="22" t="s">
        <v>17</v>
      </c>
      <c r="D7" s="25" t="s">
        <v>18</v>
      </c>
      <c r="E7" s="23">
        <f>3236+3118</f>
        <v>6354</v>
      </c>
      <c r="F7" s="18">
        <v>1.24</v>
      </c>
      <c r="G7" s="40">
        <f t="shared" si="0"/>
        <v>7878.96</v>
      </c>
      <c r="H7" s="57"/>
      <c r="I7" s="57"/>
      <c r="J7" s="57"/>
      <c r="K7" s="57"/>
      <c r="L7" s="57"/>
      <c r="M7" s="57"/>
      <c r="N7" s="57"/>
      <c r="O7" s="57"/>
      <c r="P7" s="57"/>
    </row>
    <row r="8" s="56" customFormat="1" ht="48" spans="1:16">
      <c r="A8" s="20">
        <v>3</v>
      </c>
      <c r="B8" s="21" t="s">
        <v>19</v>
      </c>
      <c r="C8" s="17" t="s">
        <v>20</v>
      </c>
      <c r="D8" s="21" t="s">
        <v>21</v>
      </c>
      <c r="E8" s="18">
        <f>2654.27+2514.53</f>
        <v>5168.8</v>
      </c>
      <c r="F8" s="18">
        <v>3.94</v>
      </c>
      <c r="G8" s="40">
        <f t="shared" si="0"/>
        <v>20365.07</v>
      </c>
      <c r="H8" s="57"/>
      <c r="I8" s="57"/>
      <c r="J8" s="57"/>
      <c r="K8" s="57"/>
      <c r="L8" s="57"/>
      <c r="M8" s="57"/>
      <c r="N8" s="57"/>
      <c r="O8" s="57"/>
      <c r="P8" s="57"/>
    </row>
    <row r="9" s="56" customFormat="1" ht="60" spans="1:16">
      <c r="A9" s="20">
        <v>4</v>
      </c>
      <c r="B9" s="71" t="s">
        <v>22</v>
      </c>
      <c r="C9" s="72" t="s">
        <v>20</v>
      </c>
      <c r="D9" s="21" t="s">
        <v>23</v>
      </c>
      <c r="E9" s="73">
        <f>6716.33+12411.34</f>
        <v>19127.67</v>
      </c>
      <c r="F9" s="18">
        <v>10.61</v>
      </c>
      <c r="G9" s="40">
        <f t="shared" si="0"/>
        <v>202944.58</v>
      </c>
      <c r="H9" s="57"/>
      <c r="I9" s="57"/>
      <c r="J9" s="57"/>
      <c r="K9" s="57"/>
      <c r="L9" s="57"/>
      <c r="M9" s="57"/>
      <c r="N9" s="57"/>
      <c r="O9" s="57"/>
      <c r="P9" s="57"/>
    </row>
    <row r="10" s="56" customFormat="1" ht="60" spans="1:16">
      <c r="A10" s="20">
        <v>5</v>
      </c>
      <c r="B10" s="21" t="s">
        <v>24</v>
      </c>
      <c r="C10" s="17" t="s">
        <v>20</v>
      </c>
      <c r="D10" s="21" t="s">
        <v>23</v>
      </c>
      <c r="E10" s="18">
        <f>4029.8+9929.08</f>
        <v>13958.88</v>
      </c>
      <c r="F10" s="18">
        <v>15.59</v>
      </c>
      <c r="G10" s="40">
        <f t="shared" si="0"/>
        <v>217618.94</v>
      </c>
      <c r="H10" s="57"/>
      <c r="I10" s="57"/>
      <c r="J10" s="57"/>
      <c r="K10" s="57"/>
      <c r="L10" s="57"/>
      <c r="M10" s="57"/>
      <c r="N10" s="57"/>
      <c r="O10" s="57"/>
      <c r="P10" s="57"/>
    </row>
    <row r="11" s="56" customFormat="1" ht="36" spans="1:16">
      <c r="A11" s="20">
        <v>6</v>
      </c>
      <c r="B11" s="21" t="s">
        <v>25</v>
      </c>
      <c r="C11" s="72" t="s">
        <v>20</v>
      </c>
      <c r="D11" s="71" t="s">
        <v>26</v>
      </c>
      <c r="E11" s="18">
        <f>E8+E9+E10-E13-E14-E15</f>
        <v>12547.42</v>
      </c>
      <c r="F11" s="18">
        <v>5.85</v>
      </c>
      <c r="G11" s="40">
        <f t="shared" si="0"/>
        <v>73402.41</v>
      </c>
      <c r="H11" s="57"/>
      <c r="I11" s="57"/>
      <c r="J11" s="57"/>
      <c r="K11" s="57"/>
      <c r="L11" s="57"/>
      <c r="M11" s="57"/>
      <c r="N11" s="57"/>
      <c r="O11" s="57"/>
      <c r="P11" s="57"/>
    </row>
    <row r="12" s="56" customFormat="1" ht="36" spans="1:16">
      <c r="A12" s="20">
        <v>7</v>
      </c>
      <c r="B12" s="21" t="s">
        <v>27</v>
      </c>
      <c r="C12" s="17" t="s">
        <v>20</v>
      </c>
      <c r="D12" s="71" t="s">
        <v>26</v>
      </c>
      <c r="E12" s="18">
        <f>E11</f>
        <v>12547.42</v>
      </c>
      <c r="F12" s="18">
        <v>1.26</v>
      </c>
      <c r="G12" s="40">
        <f t="shared" si="0"/>
        <v>15809.75</v>
      </c>
      <c r="H12" s="57"/>
      <c r="I12" s="57"/>
      <c r="J12" s="57"/>
      <c r="K12" s="57"/>
      <c r="L12" s="57"/>
      <c r="M12" s="57"/>
      <c r="N12" s="57"/>
      <c r="O12" s="57"/>
      <c r="P12" s="57"/>
    </row>
    <row r="13" s="56" customFormat="1" ht="48" spans="1:16">
      <c r="A13" s="20">
        <v>8</v>
      </c>
      <c r="B13" s="21" t="s">
        <v>28</v>
      </c>
      <c r="C13" s="17" t="s">
        <v>20</v>
      </c>
      <c r="D13" s="21" t="s">
        <v>29</v>
      </c>
      <c r="E13" s="23">
        <f>3689.62+785.05</f>
        <v>4474.67</v>
      </c>
      <c r="F13" s="18">
        <v>2.94</v>
      </c>
      <c r="G13" s="40">
        <f t="shared" si="0"/>
        <v>13155.53</v>
      </c>
      <c r="H13" s="57"/>
      <c r="I13" s="57"/>
      <c r="J13" s="57"/>
      <c r="K13" s="57"/>
      <c r="L13" s="57"/>
      <c r="M13" s="57"/>
      <c r="N13" s="57"/>
      <c r="O13" s="57"/>
      <c r="P13" s="57"/>
    </row>
    <row r="14" s="56" customFormat="1" ht="48" spans="1:16">
      <c r="A14" s="20">
        <v>9</v>
      </c>
      <c r="B14" s="21" t="s">
        <v>30</v>
      </c>
      <c r="C14" s="17" t="s">
        <v>20</v>
      </c>
      <c r="D14" s="21" t="s">
        <v>29</v>
      </c>
      <c r="E14" s="23">
        <f>14573.03+4089.96</f>
        <v>18662.99</v>
      </c>
      <c r="F14" s="18">
        <v>4.53</v>
      </c>
      <c r="G14" s="40">
        <f t="shared" si="0"/>
        <v>84543.34</v>
      </c>
      <c r="H14" s="57"/>
      <c r="I14" s="57"/>
      <c r="J14" s="57"/>
      <c r="K14" s="57"/>
      <c r="L14" s="57"/>
      <c r="M14" s="57"/>
      <c r="N14" s="57"/>
      <c r="O14" s="57"/>
      <c r="P14" s="57"/>
    </row>
    <row r="15" s="56" customFormat="1" ht="36" spans="1:16">
      <c r="A15" s="20">
        <v>10</v>
      </c>
      <c r="B15" s="21" t="s">
        <v>31</v>
      </c>
      <c r="C15" s="17" t="s">
        <v>20</v>
      </c>
      <c r="D15" s="71" t="s">
        <v>26</v>
      </c>
      <c r="E15" s="23">
        <v>2570.27</v>
      </c>
      <c r="F15" s="18">
        <v>25</v>
      </c>
      <c r="G15" s="40">
        <f t="shared" si="0"/>
        <v>64256.75</v>
      </c>
      <c r="H15" s="57"/>
      <c r="I15" s="57"/>
      <c r="J15" s="57"/>
      <c r="K15" s="57"/>
      <c r="L15" s="57"/>
      <c r="M15" s="57"/>
      <c r="N15" s="57"/>
      <c r="O15" s="57"/>
      <c r="P15" s="57"/>
    </row>
    <row r="16" s="56" customFormat="1" ht="48" spans="1:16">
      <c r="A16" s="20">
        <v>11</v>
      </c>
      <c r="B16" s="25" t="s">
        <v>32</v>
      </c>
      <c r="C16" s="22" t="s">
        <v>20</v>
      </c>
      <c r="D16" s="21" t="s">
        <v>33</v>
      </c>
      <c r="E16" s="23">
        <f>137.5+360.5</f>
        <v>498</v>
      </c>
      <c r="F16" s="18">
        <v>9.71</v>
      </c>
      <c r="G16" s="40">
        <f t="shared" si="0"/>
        <v>4835.58</v>
      </c>
      <c r="H16" s="57"/>
      <c r="I16" s="57"/>
      <c r="J16" s="57"/>
      <c r="K16" s="57"/>
      <c r="L16" s="57"/>
      <c r="M16" s="57"/>
      <c r="N16" s="57"/>
      <c r="O16" s="57"/>
      <c r="P16" s="57"/>
    </row>
    <row r="17" s="56" customFormat="1" ht="36" spans="1:16">
      <c r="A17" s="20">
        <v>12</v>
      </c>
      <c r="B17" s="21" t="s">
        <v>79</v>
      </c>
      <c r="C17" s="17" t="s">
        <v>17</v>
      </c>
      <c r="D17" s="21" t="s">
        <v>80</v>
      </c>
      <c r="E17" s="18">
        <f>6600+1440</f>
        <v>8040</v>
      </c>
      <c r="F17" s="18">
        <v>13</v>
      </c>
      <c r="G17" s="40">
        <f t="shared" si="0"/>
        <v>104520</v>
      </c>
      <c r="H17" s="57"/>
      <c r="I17" s="57"/>
      <c r="J17" s="58"/>
      <c r="K17" s="57"/>
      <c r="L17" s="57"/>
      <c r="M17" s="57"/>
      <c r="N17" s="57"/>
      <c r="O17" s="57"/>
      <c r="P17" s="57"/>
    </row>
    <row r="18" s="56" customFormat="1" ht="60" spans="1:16">
      <c r="A18" s="20">
        <v>13</v>
      </c>
      <c r="B18" s="25" t="s">
        <v>34</v>
      </c>
      <c r="C18" s="22" t="s">
        <v>20</v>
      </c>
      <c r="D18" s="21" t="s">
        <v>35</v>
      </c>
      <c r="E18" s="23">
        <f>144+191.1</f>
        <v>335.1</v>
      </c>
      <c r="F18" s="18">
        <v>128.83</v>
      </c>
      <c r="G18" s="40">
        <f t="shared" si="0"/>
        <v>43170.93</v>
      </c>
      <c r="H18" s="57"/>
      <c r="I18" s="57"/>
      <c r="J18" s="57"/>
      <c r="K18" s="57"/>
      <c r="L18" s="57"/>
      <c r="M18" s="57"/>
      <c r="N18" s="57"/>
      <c r="O18" s="57"/>
      <c r="P18" s="57"/>
    </row>
    <row r="19" s="56" customFormat="1" ht="60" spans="1:16">
      <c r="A19" s="20">
        <v>14</v>
      </c>
      <c r="B19" s="25" t="s">
        <v>36</v>
      </c>
      <c r="C19" s="22" t="s">
        <v>20</v>
      </c>
      <c r="D19" s="21" t="s">
        <v>37</v>
      </c>
      <c r="E19" s="23">
        <f>108.26+471.3</f>
        <v>579.56</v>
      </c>
      <c r="F19" s="18">
        <v>125.35</v>
      </c>
      <c r="G19" s="40">
        <f t="shared" si="0"/>
        <v>72647.85</v>
      </c>
      <c r="H19" s="57"/>
      <c r="I19" s="57"/>
      <c r="J19" s="57"/>
      <c r="K19" s="57"/>
      <c r="L19" s="57"/>
      <c r="M19" s="57"/>
      <c r="N19" s="57"/>
      <c r="O19" s="57"/>
      <c r="P19" s="57"/>
    </row>
    <row r="20" s="56" customFormat="1" ht="18" customHeight="1" spans="1:16">
      <c r="A20" s="74" t="s">
        <v>95</v>
      </c>
      <c r="B20" s="75"/>
      <c r="C20" s="75"/>
      <c r="D20" s="75"/>
      <c r="E20" s="75"/>
      <c r="F20" s="75"/>
      <c r="G20" s="76"/>
      <c r="H20" s="57"/>
      <c r="I20" s="57"/>
      <c r="J20" s="57"/>
      <c r="K20" s="57"/>
      <c r="L20" s="57"/>
      <c r="M20" s="57"/>
      <c r="N20" s="57"/>
      <c r="O20" s="57"/>
      <c r="P20" s="57"/>
    </row>
    <row r="21" s="56" customFormat="1" ht="50" customHeight="1" spans="1:16">
      <c r="A21" s="59" t="s">
        <v>112</v>
      </c>
      <c r="B21" s="59"/>
      <c r="C21" s="59"/>
      <c r="D21" s="59"/>
      <c r="E21" s="60"/>
      <c r="F21" s="60"/>
      <c r="G21" s="60"/>
      <c r="H21" s="57"/>
      <c r="I21" s="57"/>
      <c r="J21" s="57"/>
      <c r="K21" s="57"/>
      <c r="L21" s="57"/>
      <c r="M21" s="57"/>
      <c r="N21" s="57"/>
      <c r="O21" s="57"/>
      <c r="P21" s="57"/>
    </row>
    <row r="22" s="56" customFormat="1" ht="18" customHeight="1" spans="1:16">
      <c r="A22" s="59"/>
      <c r="B22" s="59"/>
      <c r="C22" s="59"/>
      <c r="D22" s="59"/>
      <c r="E22" s="60"/>
      <c r="F22" s="6" t="s">
        <v>1</v>
      </c>
      <c r="G22" s="6"/>
      <c r="H22" s="57"/>
      <c r="I22" s="57"/>
      <c r="J22" s="57"/>
      <c r="K22" s="57"/>
      <c r="L22" s="57"/>
      <c r="M22" s="57"/>
      <c r="N22" s="57"/>
      <c r="O22" s="57"/>
      <c r="P22" s="57"/>
    </row>
    <row r="23" s="56" customFormat="1" ht="18" customHeight="1" spans="1:16">
      <c r="A23" s="61" t="s">
        <v>2</v>
      </c>
      <c r="B23" s="62" t="s">
        <v>3</v>
      </c>
      <c r="C23" s="62" t="s">
        <v>4</v>
      </c>
      <c r="D23" s="62" t="s">
        <v>5</v>
      </c>
      <c r="E23" s="63" t="s">
        <v>6</v>
      </c>
      <c r="F23" s="63" t="s">
        <v>7</v>
      </c>
      <c r="G23" s="64" t="s">
        <v>8</v>
      </c>
      <c r="H23" s="57"/>
      <c r="I23" s="57"/>
      <c r="J23" s="57"/>
      <c r="K23" s="57"/>
      <c r="L23" s="57"/>
      <c r="M23" s="57"/>
      <c r="N23" s="57"/>
      <c r="O23" s="57"/>
      <c r="P23" s="57"/>
    </row>
    <row r="24" s="56" customFormat="1" ht="60" spans="1:16">
      <c r="A24" s="20">
        <v>15</v>
      </c>
      <c r="B24" s="25" t="s">
        <v>82</v>
      </c>
      <c r="C24" s="22" t="s">
        <v>20</v>
      </c>
      <c r="D24" s="21" t="s">
        <v>35</v>
      </c>
      <c r="E24" s="23">
        <f>29.7+5.7</f>
        <v>35.4</v>
      </c>
      <c r="F24" s="18">
        <v>128.83</v>
      </c>
      <c r="G24" s="40">
        <f t="shared" ref="G24:G30" si="1">ROUND(E24*F24,2)</f>
        <v>4560.58</v>
      </c>
      <c r="H24" s="57"/>
      <c r="I24" s="57"/>
      <c r="J24" s="57"/>
      <c r="K24" s="57"/>
      <c r="L24" s="57"/>
      <c r="M24" s="57"/>
      <c r="N24" s="57"/>
      <c r="O24" s="57"/>
      <c r="P24" s="57"/>
    </row>
    <row r="25" s="56" customFormat="1" ht="60" spans="1:16">
      <c r="A25" s="20">
        <v>16</v>
      </c>
      <c r="B25" s="25" t="s">
        <v>83</v>
      </c>
      <c r="C25" s="22" t="s">
        <v>20</v>
      </c>
      <c r="D25" s="21" t="s">
        <v>44</v>
      </c>
      <c r="E25" s="23">
        <f>4.95+0.95</f>
        <v>5.9</v>
      </c>
      <c r="F25" s="18">
        <v>125.35</v>
      </c>
      <c r="G25" s="40">
        <f t="shared" si="1"/>
        <v>739.57</v>
      </c>
      <c r="H25" s="57"/>
      <c r="I25" s="57"/>
      <c r="J25" s="57"/>
      <c r="K25" s="57"/>
      <c r="L25" s="57"/>
      <c r="M25" s="57"/>
      <c r="N25" s="57"/>
      <c r="O25" s="57"/>
      <c r="P25" s="57"/>
    </row>
    <row r="26" s="56" customFormat="1" ht="60" spans="1:16">
      <c r="A26" s="20">
        <v>17</v>
      </c>
      <c r="B26" s="25" t="s">
        <v>84</v>
      </c>
      <c r="C26" s="22" t="s">
        <v>20</v>
      </c>
      <c r="D26" s="21" t="s">
        <v>85</v>
      </c>
      <c r="E26" s="23">
        <v>75</v>
      </c>
      <c r="F26" s="18">
        <v>126.35</v>
      </c>
      <c r="G26" s="40">
        <f t="shared" si="1"/>
        <v>9476.25</v>
      </c>
      <c r="H26" s="57"/>
      <c r="I26" s="57"/>
      <c r="J26" s="57"/>
      <c r="K26" s="57"/>
      <c r="L26" s="57"/>
      <c r="M26" s="57"/>
      <c r="N26" s="57"/>
      <c r="O26" s="57"/>
      <c r="P26" s="57"/>
    </row>
    <row r="27" s="56" customFormat="1" ht="60" spans="1:16">
      <c r="A27" s="20">
        <v>18</v>
      </c>
      <c r="B27" s="25" t="s">
        <v>39</v>
      </c>
      <c r="C27" s="22" t="s">
        <v>40</v>
      </c>
      <c r="D27" s="25" t="s">
        <v>41</v>
      </c>
      <c r="E27" s="23">
        <v>48</v>
      </c>
      <c r="F27" s="18">
        <v>213.44</v>
      </c>
      <c r="G27" s="40">
        <f t="shared" si="1"/>
        <v>10245.12</v>
      </c>
      <c r="H27" s="57"/>
      <c r="I27" s="57"/>
      <c r="J27" s="57"/>
      <c r="K27" s="57"/>
      <c r="L27" s="57"/>
      <c r="M27" s="57"/>
      <c r="N27" s="57"/>
      <c r="O27" s="57"/>
      <c r="P27" s="57"/>
    </row>
    <row r="28" s="56" customFormat="1" ht="60" spans="1:16">
      <c r="A28" s="20">
        <v>19</v>
      </c>
      <c r="B28" s="25" t="s">
        <v>42</v>
      </c>
      <c r="C28" s="22" t="s">
        <v>20</v>
      </c>
      <c r="D28" s="21" t="s">
        <v>35</v>
      </c>
      <c r="E28" s="23">
        <v>1641.6</v>
      </c>
      <c r="F28" s="18">
        <v>128.83</v>
      </c>
      <c r="G28" s="40">
        <f t="shared" si="1"/>
        <v>211487.33</v>
      </c>
      <c r="H28" s="57"/>
      <c r="I28" s="57"/>
      <c r="J28" s="57"/>
      <c r="K28" s="57"/>
      <c r="L28" s="57"/>
      <c r="M28" s="57"/>
      <c r="N28" s="57"/>
      <c r="O28" s="57"/>
      <c r="P28" s="57"/>
    </row>
    <row r="29" s="56" customFormat="1" ht="60" spans="1:16">
      <c r="A29" s="20">
        <v>20</v>
      </c>
      <c r="B29" s="25" t="s">
        <v>43</v>
      </c>
      <c r="C29" s="22" t="s">
        <v>20</v>
      </c>
      <c r="D29" s="21" t="s">
        <v>44</v>
      </c>
      <c r="E29" s="23">
        <v>738.1</v>
      </c>
      <c r="F29" s="18">
        <v>109.8</v>
      </c>
      <c r="G29" s="40">
        <f t="shared" si="1"/>
        <v>81043.38</v>
      </c>
      <c r="H29" s="57"/>
      <c r="I29" s="57"/>
      <c r="J29" s="57"/>
      <c r="K29" s="57"/>
      <c r="L29" s="57"/>
      <c r="M29" s="57"/>
      <c r="N29" s="57"/>
      <c r="O29" s="57"/>
      <c r="P29" s="57"/>
    </row>
    <row r="30" s="56" customFormat="1" ht="36" spans="1:16">
      <c r="A30" s="20">
        <v>21</v>
      </c>
      <c r="B30" s="25" t="s">
        <v>45</v>
      </c>
      <c r="C30" s="22" t="s">
        <v>40</v>
      </c>
      <c r="D30" s="71" t="s">
        <v>46</v>
      </c>
      <c r="E30" s="23">
        <f>339+931.8</f>
        <v>1270.8</v>
      </c>
      <c r="F30" s="18">
        <v>20.38</v>
      </c>
      <c r="G30" s="40">
        <f t="shared" si="1"/>
        <v>25898.9</v>
      </c>
      <c r="H30" s="57"/>
      <c r="I30" s="57"/>
      <c r="J30" s="57"/>
      <c r="K30" s="57"/>
      <c r="L30" s="57"/>
      <c r="M30" s="57"/>
      <c r="N30" s="57"/>
      <c r="O30" s="57"/>
      <c r="P30" s="57"/>
    </row>
    <row r="31" s="56" customFormat="1" ht="18" customHeight="1" spans="1:16">
      <c r="A31" s="15" t="s">
        <v>50</v>
      </c>
      <c r="B31" s="16" t="s">
        <v>51</v>
      </c>
      <c r="C31" s="17"/>
      <c r="D31" s="17"/>
      <c r="E31" s="18"/>
      <c r="F31" s="18"/>
      <c r="G31" s="19">
        <f>SUM(G32:G42)</f>
        <v>204924.46</v>
      </c>
      <c r="H31" s="57"/>
      <c r="I31" s="57"/>
      <c r="J31" s="57"/>
      <c r="K31" s="57"/>
      <c r="L31" s="57"/>
      <c r="M31" s="57"/>
      <c r="N31" s="57"/>
      <c r="O31" s="57"/>
      <c r="P31" s="57"/>
    </row>
    <row r="32" s="56" customFormat="1" ht="36" spans="1:16">
      <c r="A32" s="39">
        <v>1</v>
      </c>
      <c r="B32" s="21" t="s">
        <v>113</v>
      </c>
      <c r="C32" s="22" t="s">
        <v>17</v>
      </c>
      <c r="D32" s="71" t="s">
        <v>114</v>
      </c>
      <c r="E32" s="18">
        <v>4081</v>
      </c>
      <c r="F32" s="23">
        <v>2.93</v>
      </c>
      <c r="G32" s="24">
        <f>ROUND(E32*F32,2)</f>
        <v>11957.33</v>
      </c>
      <c r="H32" s="57"/>
      <c r="I32" s="57"/>
      <c r="J32" s="57"/>
      <c r="K32" s="57"/>
      <c r="L32" s="57"/>
      <c r="M32" s="57"/>
      <c r="N32" s="57"/>
      <c r="O32" s="57"/>
      <c r="P32" s="57"/>
    </row>
    <row r="33" s="56" customFormat="1" ht="60" spans="1:16">
      <c r="A33" s="39">
        <v>2</v>
      </c>
      <c r="B33" s="25" t="s">
        <v>53</v>
      </c>
      <c r="C33" s="22" t="s">
        <v>20</v>
      </c>
      <c r="D33" s="21" t="s">
        <v>37</v>
      </c>
      <c r="E33" s="23">
        <f>490+637</f>
        <v>1127</v>
      </c>
      <c r="F33" s="23">
        <v>123.22</v>
      </c>
      <c r="G33" s="24">
        <f>ROUND(E33*F33,2)</f>
        <v>138868.94</v>
      </c>
      <c r="H33" s="57"/>
      <c r="I33" s="57"/>
      <c r="J33" s="57"/>
      <c r="K33" s="57"/>
      <c r="L33" s="57"/>
      <c r="M33" s="57"/>
      <c r="N33" s="57"/>
      <c r="O33" s="57"/>
      <c r="P33" s="57"/>
    </row>
    <row r="34" s="56" customFormat="1" ht="60" spans="1:16">
      <c r="A34" s="39">
        <v>3</v>
      </c>
      <c r="B34" s="21" t="s">
        <v>115</v>
      </c>
      <c r="C34" s="17" t="s">
        <v>17</v>
      </c>
      <c r="D34" s="21" t="s">
        <v>37</v>
      </c>
      <c r="E34" s="23">
        <v>266</v>
      </c>
      <c r="F34" s="23">
        <v>22.5</v>
      </c>
      <c r="G34" s="24">
        <f>ROUND(E34*F34,2)</f>
        <v>5985</v>
      </c>
      <c r="H34" s="57"/>
      <c r="I34" s="57"/>
      <c r="J34" s="57"/>
      <c r="K34" s="57"/>
      <c r="L34" s="57"/>
      <c r="M34" s="57"/>
      <c r="N34" s="57"/>
      <c r="O34" s="57"/>
      <c r="P34" s="57"/>
    </row>
    <row r="35" s="56" customFormat="1" ht="60" spans="1:16">
      <c r="A35" s="39">
        <v>4</v>
      </c>
      <c r="B35" s="21" t="s">
        <v>116</v>
      </c>
      <c r="C35" s="17" t="s">
        <v>17</v>
      </c>
      <c r="D35" s="21" t="s">
        <v>37</v>
      </c>
      <c r="E35" s="23">
        <v>266</v>
      </c>
      <c r="F35" s="23">
        <v>18.76</v>
      </c>
      <c r="G35" s="24">
        <f>ROUND(E35*F35,2)</f>
        <v>4990.16</v>
      </c>
      <c r="H35" s="57"/>
      <c r="I35" s="57"/>
      <c r="J35" s="57"/>
      <c r="K35" s="57"/>
      <c r="L35" s="57"/>
      <c r="M35" s="57"/>
      <c r="N35" s="57"/>
      <c r="O35" s="57"/>
      <c r="P35" s="57"/>
    </row>
    <row r="36" s="56" customFormat="1" ht="48" spans="1:16">
      <c r="A36" s="39">
        <v>5</v>
      </c>
      <c r="B36" s="25" t="s">
        <v>117</v>
      </c>
      <c r="C36" s="22" t="s">
        <v>17</v>
      </c>
      <c r="D36" s="21" t="s">
        <v>118</v>
      </c>
      <c r="E36" s="23">
        <v>266</v>
      </c>
      <c r="F36" s="23">
        <v>10.46</v>
      </c>
      <c r="G36" s="24">
        <f>ROUND(E36*F36,2)</f>
        <v>2782.36</v>
      </c>
      <c r="H36" s="57"/>
      <c r="I36" s="57"/>
      <c r="J36" s="57"/>
      <c r="K36" s="57"/>
      <c r="L36" s="57"/>
      <c r="M36" s="57"/>
      <c r="N36" s="57"/>
      <c r="O36" s="57"/>
      <c r="P36" s="57"/>
    </row>
    <row r="37" s="56" customFormat="1" ht="20" customHeight="1" spans="1:16">
      <c r="A37" s="74" t="s">
        <v>96</v>
      </c>
      <c r="B37" s="75"/>
      <c r="C37" s="75"/>
      <c r="D37" s="75"/>
      <c r="E37" s="75"/>
      <c r="F37" s="75"/>
      <c r="G37" s="76"/>
      <c r="H37" s="57"/>
      <c r="I37" s="57"/>
      <c r="J37" s="57"/>
      <c r="K37" s="57"/>
      <c r="L37" s="57"/>
      <c r="M37" s="57"/>
      <c r="N37" s="57"/>
      <c r="O37" s="57"/>
      <c r="P37" s="57"/>
    </row>
    <row r="38" s="56" customFormat="1" ht="49" customHeight="1" spans="1:16">
      <c r="A38" s="59" t="s">
        <v>112</v>
      </c>
      <c r="B38" s="59"/>
      <c r="C38" s="59"/>
      <c r="D38" s="59"/>
      <c r="E38" s="60"/>
      <c r="F38" s="60"/>
      <c r="G38" s="60"/>
      <c r="H38" s="57"/>
      <c r="I38" s="57"/>
      <c r="J38" s="57"/>
      <c r="K38" s="57"/>
      <c r="L38" s="57"/>
      <c r="M38" s="57"/>
      <c r="N38" s="57"/>
      <c r="O38" s="57"/>
      <c r="P38" s="57"/>
    </row>
    <row r="39" s="56" customFormat="1" ht="20" customHeight="1" spans="1:16">
      <c r="A39" s="59"/>
      <c r="B39" s="59"/>
      <c r="C39" s="59"/>
      <c r="D39" s="59"/>
      <c r="E39" s="60"/>
      <c r="F39" s="6" t="s">
        <v>1</v>
      </c>
      <c r="G39" s="6"/>
      <c r="H39" s="57"/>
      <c r="I39" s="57"/>
      <c r="J39" s="57"/>
      <c r="K39" s="57"/>
      <c r="L39" s="57"/>
      <c r="M39" s="57"/>
      <c r="N39" s="57"/>
      <c r="O39" s="57"/>
      <c r="P39" s="57"/>
    </row>
    <row r="40" s="56" customFormat="1" ht="20" customHeight="1" spans="1:16">
      <c r="A40" s="61" t="s">
        <v>2</v>
      </c>
      <c r="B40" s="62" t="s">
        <v>3</v>
      </c>
      <c r="C40" s="62" t="s">
        <v>4</v>
      </c>
      <c r="D40" s="62" t="s">
        <v>5</v>
      </c>
      <c r="E40" s="63" t="s">
        <v>6</v>
      </c>
      <c r="F40" s="63" t="s">
        <v>7</v>
      </c>
      <c r="G40" s="64" t="s">
        <v>8</v>
      </c>
      <c r="H40" s="57"/>
      <c r="I40" s="57"/>
      <c r="J40" s="57"/>
      <c r="K40" s="57"/>
      <c r="L40" s="57"/>
      <c r="M40" s="57"/>
      <c r="N40" s="57"/>
      <c r="O40" s="57"/>
      <c r="P40" s="57"/>
    </row>
    <row r="41" s="56" customFormat="1" ht="36" spans="1:16">
      <c r="A41" s="39">
        <v>6</v>
      </c>
      <c r="B41" s="25" t="s">
        <v>119</v>
      </c>
      <c r="C41" s="22" t="s">
        <v>17</v>
      </c>
      <c r="D41" s="71" t="s">
        <v>120</v>
      </c>
      <c r="E41" s="23">
        <v>4170</v>
      </c>
      <c r="F41" s="23">
        <v>2.93</v>
      </c>
      <c r="G41" s="24">
        <f>ROUND(E41*F41,2)</f>
        <v>12218.1</v>
      </c>
      <c r="H41" s="57"/>
      <c r="I41" s="57"/>
      <c r="J41" s="57"/>
      <c r="K41" s="57"/>
      <c r="L41" s="57"/>
      <c r="M41" s="57"/>
      <c r="N41" s="57"/>
      <c r="O41" s="57"/>
      <c r="P41" s="57"/>
    </row>
    <row r="42" s="56" customFormat="1" ht="36" spans="1:16">
      <c r="A42" s="39">
        <v>7</v>
      </c>
      <c r="B42" s="21" t="s">
        <v>121</v>
      </c>
      <c r="C42" s="17" t="s">
        <v>17</v>
      </c>
      <c r="D42" s="71" t="s">
        <v>122</v>
      </c>
      <c r="E42" s="23">
        <v>911</v>
      </c>
      <c r="F42" s="23">
        <v>30.87</v>
      </c>
      <c r="G42" s="24">
        <f>ROUND(E42*F42,2)</f>
        <v>28122.57</v>
      </c>
      <c r="H42" s="57"/>
      <c r="I42" s="57"/>
      <c r="J42" s="57"/>
      <c r="K42" s="57"/>
      <c r="L42" s="57"/>
      <c r="M42" s="57"/>
      <c r="N42" s="57"/>
      <c r="O42" s="57"/>
      <c r="P42" s="57"/>
    </row>
    <row r="43" s="56" customFormat="1" ht="20" customHeight="1" spans="1:16">
      <c r="A43" s="15" t="s">
        <v>54</v>
      </c>
      <c r="B43" s="16" t="s">
        <v>55</v>
      </c>
      <c r="C43" s="17"/>
      <c r="D43" s="17"/>
      <c r="E43" s="18"/>
      <c r="F43" s="18"/>
      <c r="G43" s="19">
        <f>SUM(G44:G45)</f>
        <v>117222.96</v>
      </c>
      <c r="H43" s="57"/>
      <c r="I43" s="57"/>
      <c r="J43" s="57"/>
      <c r="K43" s="57"/>
      <c r="L43" s="57"/>
      <c r="M43" s="57"/>
      <c r="N43" s="57"/>
      <c r="O43" s="57"/>
      <c r="P43" s="57"/>
    </row>
    <row r="44" s="56" customFormat="1" ht="60" spans="1:16">
      <c r="A44" s="20">
        <v>1</v>
      </c>
      <c r="B44" s="25" t="s">
        <v>56</v>
      </c>
      <c r="C44" s="22" t="s">
        <v>40</v>
      </c>
      <c r="D44" s="25" t="s">
        <v>41</v>
      </c>
      <c r="E44" s="23">
        <v>63</v>
      </c>
      <c r="F44" s="18">
        <v>1455.92</v>
      </c>
      <c r="G44" s="24">
        <f>ROUND(E44*F44,2)</f>
        <v>91722.96</v>
      </c>
      <c r="H44" s="57"/>
      <c r="I44" s="57"/>
      <c r="J44" s="57"/>
      <c r="K44" s="57"/>
      <c r="L44" s="57"/>
      <c r="M44" s="57"/>
      <c r="N44" s="57"/>
      <c r="O44" s="57"/>
      <c r="P44" s="57"/>
    </row>
    <row r="45" s="56" customFormat="1" ht="72" spans="1:16">
      <c r="A45" s="20">
        <v>2</v>
      </c>
      <c r="B45" s="25" t="s">
        <v>57</v>
      </c>
      <c r="C45" s="22" t="s">
        <v>40</v>
      </c>
      <c r="D45" s="25" t="s">
        <v>58</v>
      </c>
      <c r="E45" s="23">
        <v>15</v>
      </c>
      <c r="F45" s="18">
        <v>1700</v>
      </c>
      <c r="G45" s="24">
        <f>ROUND(E45*F45,2)</f>
        <v>25500</v>
      </c>
      <c r="H45" s="57"/>
      <c r="I45" s="57"/>
      <c r="J45" s="57"/>
      <c r="K45" s="57"/>
      <c r="L45" s="57"/>
      <c r="M45" s="57"/>
      <c r="N45" s="57"/>
      <c r="O45" s="57"/>
      <c r="P45" s="57"/>
    </row>
    <row r="46" s="56" customFormat="1" ht="30" customHeight="1" spans="1:16">
      <c r="A46" s="15" t="s">
        <v>59</v>
      </c>
      <c r="B46" s="16" t="s">
        <v>60</v>
      </c>
      <c r="C46" s="22"/>
      <c r="D46" s="22"/>
      <c r="E46" s="23"/>
      <c r="F46" s="23"/>
      <c r="G46" s="31">
        <f>SUM(G47:G51)</f>
        <v>17701.95</v>
      </c>
      <c r="H46" s="57"/>
      <c r="I46" s="57"/>
      <c r="J46" s="57"/>
      <c r="K46" s="57"/>
      <c r="L46" s="57"/>
      <c r="M46" s="57"/>
      <c r="N46" s="57"/>
      <c r="O46" s="57"/>
      <c r="P46" s="57"/>
    </row>
    <row r="47" s="56" customFormat="1" ht="48" spans="1:16">
      <c r="A47" s="39">
        <v>1</v>
      </c>
      <c r="B47" s="21" t="s">
        <v>19</v>
      </c>
      <c r="C47" s="17" t="s">
        <v>20</v>
      </c>
      <c r="D47" s="21" t="s">
        <v>21</v>
      </c>
      <c r="E47" s="23">
        <v>125.04</v>
      </c>
      <c r="F47" s="18">
        <v>3.94</v>
      </c>
      <c r="G47" s="24">
        <f t="shared" ref="G47:G51" si="2">ROUND(E47*F47,2)</f>
        <v>492.66</v>
      </c>
      <c r="H47" s="57"/>
      <c r="I47" s="57"/>
      <c r="J47" s="57"/>
      <c r="K47" s="57"/>
      <c r="L47" s="57"/>
      <c r="M47" s="57"/>
      <c r="N47" s="57"/>
      <c r="O47" s="57"/>
      <c r="P47" s="57"/>
    </row>
    <row r="48" s="56" customFormat="1" ht="60" spans="1:16">
      <c r="A48" s="39">
        <v>2</v>
      </c>
      <c r="B48" s="21" t="s">
        <v>24</v>
      </c>
      <c r="C48" s="17" t="s">
        <v>20</v>
      </c>
      <c r="D48" s="21" t="s">
        <v>23</v>
      </c>
      <c r="E48" s="23">
        <v>290.76</v>
      </c>
      <c r="F48" s="18">
        <v>15.59</v>
      </c>
      <c r="G48" s="24">
        <f t="shared" si="2"/>
        <v>4532.95</v>
      </c>
      <c r="H48" s="57"/>
      <c r="I48" s="57"/>
      <c r="J48" s="57"/>
      <c r="K48" s="57"/>
      <c r="L48" s="57"/>
      <c r="M48" s="57"/>
      <c r="N48" s="57"/>
      <c r="O48" s="57"/>
      <c r="P48" s="57"/>
    </row>
    <row r="49" s="56" customFormat="1" ht="36" spans="1:16">
      <c r="A49" s="39">
        <v>3</v>
      </c>
      <c r="B49" s="21" t="s">
        <v>25</v>
      </c>
      <c r="C49" s="72" t="s">
        <v>20</v>
      </c>
      <c r="D49" s="71" t="s">
        <v>26</v>
      </c>
      <c r="E49" s="23">
        <f>E47+E48</f>
        <v>415.8</v>
      </c>
      <c r="F49" s="18">
        <v>5.85</v>
      </c>
      <c r="G49" s="24">
        <f t="shared" si="2"/>
        <v>2432.43</v>
      </c>
      <c r="H49" s="57"/>
      <c r="I49" s="57"/>
      <c r="J49" s="57"/>
      <c r="K49" s="57"/>
      <c r="L49" s="57"/>
      <c r="M49" s="57"/>
      <c r="N49" s="57"/>
      <c r="O49" s="57"/>
      <c r="P49" s="57"/>
    </row>
    <row r="50" s="56" customFormat="1" ht="36" spans="1:16">
      <c r="A50" s="39">
        <v>4</v>
      </c>
      <c r="B50" s="21" t="s">
        <v>27</v>
      </c>
      <c r="C50" s="17" t="s">
        <v>20</v>
      </c>
      <c r="D50" s="71" t="s">
        <v>26</v>
      </c>
      <c r="E50" s="23">
        <f>E49</f>
        <v>415.8</v>
      </c>
      <c r="F50" s="18">
        <v>1.26</v>
      </c>
      <c r="G50" s="24">
        <f t="shared" si="2"/>
        <v>523.91</v>
      </c>
      <c r="H50" s="57"/>
      <c r="I50" s="57"/>
      <c r="J50" s="57"/>
      <c r="K50" s="57"/>
      <c r="L50" s="57"/>
      <c r="M50" s="57"/>
      <c r="N50" s="57"/>
      <c r="O50" s="57"/>
      <c r="P50" s="57"/>
    </row>
    <row r="51" s="56" customFormat="1" ht="60" spans="1:16">
      <c r="A51" s="39">
        <v>5</v>
      </c>
      <c r="B51" s="21" t="s">
        <v>62</v>
      </c>
      <c r="C51" s="17" t="s">
        <v>17</v>
      </c>
      <c r="D51" s="21" t="s">
        <v>37</v>
      </c>
      <c r="E51" s="23">
        <v>432</v>
      </c>
      <c r="F51" s="18">
        <v>22.5</v>
      </c>
      <c r="G51" s="24">
        <f t="shared" si="2"/>
        <v>9720</v>
      </c>
      <c r="H51" s="57"/>
      <c r="I51" s="57"/>
      <c r="J51" s="57"/>
      <c r="K51" s="57"/>
      <c r="L51" s="57"/>
      <c r="M51" s="57"/>
      <c r="N51" s="57"/>
      <c r="O51" s="57"/>
      <c r="P51" s="57"/>
    </row>
    <row r="52" s="56" customFormat="1" ht="30" customHeight="1" spans="1:16">
      <c r="A52" s="15" t="s">
        <v>63</v>
      </c>
      <c r="B52" s="16" t="s">
        <v>64</v>
      </c>
      <c r="C52" s="17"/>
      <c r="D52" s="17"/>
      <c r="E52" s="18"/>
      <c r="F52" s="23"/>
      <c r="G52" s="31">
        <f>SUM(G53:G53)</f>
        <v>10453.04</v>
      </c>
      <c r="H52" s="57"/>
      <c r="I52" s="57"/>
      <c r="J52" s="57"/>
      <c r="K52" s="57"/>
      <c r="L52" s="57"/>
      <c r="M52" s="57"/>
      <c r="N52" s="57"/>
      <c r="O52" s="57"/>
      <c r="P52" s="57"/>
    </row>
    <row r="53" s="56" customFormat="1" ht="36" spans="1:16">
      <c r="A53" s="39">
        <v>1</v>
      </c>
      <c r="B53" s="25" t="s">
        <v>65</v>
      </c>
      <c r="C53" s="22" t="s">
        <v>40</v>
      </c>
      <c r="D53" s="21" t="s">
        <v>66</v>
      </c>
      <c r="E53" s="23">
        <f>517+679</f>
        <v>1196</v>
      </c>
      <c r="F53" s="18">
        <v>8.74</v>
      </c>
      <c r="G53" s="24">
        <f>ROUND(E53*F53,2)</f>
        <v>10453.04</v>
      </c>
      <c r="H53" s="57"/>
      <c r="I53" s="57"/>
      <c r="J53" s="57"/>
      <c r="K53" s="57"/>
      <c r="L53" s="57"/>
      <c r="M53" s="57"/>
      <c r="N53" s="57"/>
      <c r="O53" s="57"/>
      <c r="P53" s="57"/>
    </row>
    <row r="54" s="56" customFormat="1" ht="30" customHeight="1" spans="1:16">
      <c r="A54" s="15" t="s">
        <v>88</v>
      </c>
      <c r="B54" s="16" t="s">
        <v>89</v>
      </c>
      <c r="C54" s="22"/>
      <c r="D54" s="22"/>
      <c r="E54" s="23"/>
      <c r="F54" s="23"/>
      <c r="G54" s="31">
        <f>SUM(G55:G60)</f>
        <v>136177.15</v>
      </c>
      <c r="H54" s="57"/>
      <c r="I54" s="57"/>
      <c r="J54" s="57"/>
      <c r="K54" s="57"/>
      <c r="L54" s="57"/>
      <c r="M54" s="57"/>
      <c r="N54" s="57"/>
      <c r="O54" s="57"/>
      <c r="P54" s="57"/>
    </row>
    <row r="55" s="56" customFormat="1" ht="48" spans="1:16">
      <c r="A55" s="39">
        <v>1</v>
      </c>
      <c r="B55" s="25" t="s">
        <v>107</v>
      </c>
      <c r="C55" s="22" t="s">
        <v>40</v>
      </c>
      <c r="D55" s="21" t="s">
        <v>33</v>
      </c>
      <c r="E55" s="23">
        <v>910</v>
      </c>
      <c r="F55" s="23">
        <v>143.77</v>
      </c>
      <c r="G55" s="24">
        <f>ROUND(E55*F55,2)</f>
        <v>130830.7</v>
      </c>
      <c r="H55" s="57"/>
      <c r="I55" s="57"/>
      <c r="J55" s="57"/>
      <c r="K55" s="57"/>
      <c r="L55" s="57"/>
      <c r="M55" s="57"/>
      <c r="N55" s="57"/>
      <c r="O55" s="57"/>
      <c r="P55" s="57"/>
    </row>
    <row r="56" s="56" customFormat="1" ht="20" customHeight="1" spans="1:16">
      <c r="A56" s="74" t="s">
        <v>101</v>
      </c>
      <c r="B56" s="75"/>
      <c r="C56" s="75"/>
      <c r="D56" s="75"/>
      <c r="E56" s="75"/>
      <c r="F56" s="75"/>
      <c r="G56" s="76"/>
      <c r="H56" s="57"/>
      <c r="I56" s="57"/>
      <c r="J56" s="57"/>
      <c r="K56" s="57"/>
      <c r="L56" s="57"/>
      <c r="M56" s="57"/>
      <c r="N56" s="57"/>
      <c r="O56" s="57"/>
      <c r="P56" s="57"/>
    </row>
    <row r="57" s="56" customFormat="1" ht="53" customHeight="1" spans="1:16">
      <c r="A57" s="59" t="s">
        <v>112</v>
      </c>
      <c r="B57" s="59"/>
      <c r="C57" s="59"/>
      <c r="D57" s="59"/>
      <c r="E57" s="60"/>
      <c r="F57" s="60"/>
      <c r="G57" s="60"/>
      <c r="H57" s="57"/>
      <c r="I57" s="57"/>
      <c r="J57" s="57"/>
      <c r="K57" s="57"/>
      <c r="L57" s="57"/>
      <c r="M57" s="57"/>
      <c r="N57" s="57"/>
      <c r="O57" s="57"/>
      <c r="P57" s="57"/>
    </row>
    <row r="58" s="56" customFormat="1" ht="20" customHeight="1" spans="1:16">
      <c r="A58" s="59"/>
      <c r="B58" s="59"/>
      <c r="C58" s="59"/>
      <c r="D58" s="59"/>
      <c r="E58" s="60"/>
      <c r="F58" s="6" t="s">
        <v>1</v>
      </c>
      <c r="G58" s="6"/>
      <c r="H58" s="57"/>
      <c r="I58" s="57"/>
      <c r="J58" s="57"/>
      <c r="K58" s="57"/>
      <c r="L58" s="57"/>
      <c r="M58" s="57"/>
      <c r="N58" s="57"/>
      <c r="O58" s="57"/>
      <c r="P58" s="57"/>
    </row>
    <row r="59" s="56" customFormat="1" ht="20" customHeight="1" spans="1:16">
      <c r="A59" s="61" t="s">
        <v>2</v>
      </c>
      <c r="B59" s="62" t="s">
        <v>3</v>
      </c>
      <c r="C59" s="62" t="s">
        <v>4</v>
      </c>
      <c r="D59" s="62" t="s">
        <v>5</v>
      </c>
      <c r="E59" s="63" t="s">
        <v>6</v>
      </c>
      <c r="F59" s="63" t="s">
        <v>7</v>
      </c>
      <c r="G59" s="64" t="s">
        <v>8</v>
      </c>
      <c r="H59" s="57"/>
      <c r="I59" s="57"/>
      <c r="J59" s="57"/>
      <c r="K59" s="57"/>
      <c r="L59" s="57"/>
      <c r="M59" s="57"/>
      <c r="N59" s="57"/>
      <c r="O59" s="57"/>
      <c r="P59" s="57"/>
    </row>
    <row r="60" s="56" customFormat="1" ht="60" spans="1:16">
      <c r="A60" s="39">
        <v>2</v>
      </c>
      <c r="B60" s="25" t="s">
        <v>90</v>
      </c>
      <c r="C60" s="22" t="s">
        <v>20</v>
      </c>
      <c r="D60" s="21" t="s">
        <v>35</v>
      </c>
      <c r="E60" s="23">
        <v>41.5</v>
      </c>
      <c r="F60" s="18">
        <v>128.83</v>
      </c>
      <c r="G60" s="24">
        <f>ROUND(E60*F60,2)</f>
        <v>5346.45</v>
      </c>
      <c r="H60" s="57"/>
      <c r="I60" s="57"/>
      <c r="J60" s="57"/>
      <c r="K60" s="57"/>
      <c r="L60" s="57"/>
      <c r="M60" s="57"/>
      <c r="N60" s="57"/>
      <c r="O60" s="57"/>
      <c r="P60" s="57"/>
    </row>
    <row r="61" s="56" customFormat="1" ht="20" customHeight="1" spans="1:16">
      <c r="A61" s="39"/>
      <c r="B61" s="25"/>
      <c r="C61" s="22"/>
      <c r="D61" s="21"/>
      <c r="E61" s="23"/>
      <c r="F61" s="18"/>
      <c r="G61" s="24"/>
      <c r="H61" s="57"/>
      <c r="I61" s="57"/>
      <c r="J61" s="57"/>
      <c r="K61" s="57"/>
      <c r="L61" s="57"/>
      <c r="M61" s="57"/>
      <c r="N61" s="57"/>
      <c r="O61" s="57"/>
      <c r="P61" s="57"/>
    </row>
    <row r="62" s="56" customFormat="1" ht="20" customHeight="1" spans="1:16">
      <c r="A62" s="15" t="s">
        <v>67</v>
      </c>
      <c r="B62" s="26" t="s">
        <v>68</v>
      </c>
      <c r="C62" s="27" t="s">
        <v>69</v>
      </c>
      <c r="D62" s="27"/>
      <c r="E62" s="18">
        <v>0.5</v>
      </c>
      <c r="F62" s="18">
        <f>G4</f>
        <v>1796934.92</v>
      </c>
      <c r="G62" s="19">
        <f>ROUND(E62*F62/100,2)</f>
        <v>8984.67</v>
      </c>
      <c r="H62" s="57"/>
      <c r="I62" s="57"/>
      <c r="J62" s="57"/>
      <c r="K62" s="57"/>
      <c r="L62" s="57"/>
      <c r="M62" s="57"/>
      <c r="N62" s="57"/>
      <c r="O62" s="57"/>
      <c r="P62" s="57"/>
    </row>
    <row r="63" s="56" customFormat="1" ht="20" customHeight="1" spans="1:16">
      <c r="A63" s="15" t="s">
        <v>70</v>
      </c>
      <c r="B63" s="26" t="s">
        <v>71</v>
      </c>
      <c r="C63" s="17" t="s">
        <v>72</v>
      </c>
      <c r="D63" s="17"/>
      <c r="E63" s="18">
        <v>1</v>
      </c>
      <c r="F63" s="18">
        <v>30000</v>
      </c>
      <c r="G63" s="19">
        <f>ROUND(E63*F63,2)</f>
        <v>30000</v>
      </c>
      <c r="H63" s="57"/>
      <c r="I63" s="57"/>
      <c r="J63" s="57"/>
      <c r="K63" s="57"/>
      <c r="L63" s="57"/>
      <c r="M63" s="57"/>
      <c r="N63" s="57"/>
      <c r="O63" s="57"/>
      <c r="P63" s="57"/>
    </row>
    <row r="64" s="56" customFormat="1" ht="20" customHeight="1" spans="1:16">
      <c r="A64" s="15" t="s">
        <v>73</v>
      </c>
      <c r="B64" s="69" t="s">
        <v>74</v>
      </c>
      <c r="C64" s="27" t="s">
        <v>69</v>
      </c>
      <c r="D64" s="27"/>
      <c r="E64" s="18">
        <v>9</v>
      </c>
      <c r="F64" s="18">
        <f>G4+G62+G63</f>
        <v>1835919.59</v>
      </c>
      <c r="G64" s="19">
        <f>ROUND(E64*F64/100,2)</f>
        <v>165232.76</v>
      </c>
      <c r="H64" s="57"/>
      <c r="I64" s="57"/>
      <c r="J64" s="57"/>
      <c r="K64" s="57"/>
      <c r="L64" s="57"/>
      <c r="M64" s="57"/>
      <c r="N64" s="57"/>
      <c r="O64" s="57"/>
      <c r="P64" s="57"/>
    </row>
    <row r="65" s="56" customFormat="1" ht="20" customHeight="1" spans="1:16">
      <c r="A65" s="20"/>
      <c r="B65" s="69" t="s">
        <v>75</v>
      </c>
      <c r="C65" s="17"/>
      <c r="D65" s="17"/>
      <c r="E65" s="18"/>
      <c r="F65" s="18"/>
      <c r="G65" s="19">
        <f>G4+G62+G63+G64</f>
        <v>2001152.35</v>
      </c>
      <c r="H65" s="57"/>
      <c r="I65" s="57"/>
      <c r="J65" s="57"/>
      <c r="K65" s="57"/>
      <c r="L65" s="57"/>
      <c r="M65" s="57"/>
      <c r="N65" s="57"/>
      <c r="O65" s="57"/>
      <c r="P65" s="57"/>
    </row>
    <row r="66" s="56" customFormat="1" ht="20" customHeight="1" spans="1:16">
      <c r="A66" s="20"/>
      <c r="B66" s="17"/>
      <c r="C66" s="17"/>
      <c r="D66" s="17"/>
      <c r="E66" s="18"/>
      <c r="F66" s="18"/>
      <c r="G66" s="40"/>
      <c r="H66" s="57"/>
      <c r="I66" s="57"/>
      <c r="J66" s="57"/>
      <c r="K66" s="57"/>
      <c r="L66" s="57"/>
      <c r="M66" s="57"/>
      <c r="N66" s="57"/>
      <c r="O66" s="57"/>
      <c r="P66" s="57"/>
    </row>
    <row r="67" s="56" customFormat="1" ht="20" customHeight="1" spans="1:16">
      <c r="A67" s="20"/>
      <c r="B67" s="17"/>
      <c r="C67" s="17"/>
      <c r="D67" s="17"/>
      <c r="E67" s="18"/>
      <c r="F67" s="18"/>
      <c r="G67" s="40"/>
      <c r="H67" s="57"/>
      <c r="I67" s="57"/>
      <c r="J67" s="57"/>
      <c r="K67" s="57"/>
      <c r="L67" s="57"/>
      <c r="M67" s="57"/>
      <c r="N67" s="57"/>
      <c r="O67" s="57"/>
      <c r="P67" s="57"/>
    </row>
    <row r="68" s="56" customFormat="1" ht="20" customHeight="1" spans="1:16">
      <c r="A68" s="20"/>
      <c r="B68" s="17"/>
      <c r="C68" s="17"/>
      <c r="D68" s="17"/>
      <c r="E68" s="18"/>
      <c r="F68" s="18"/>
      <c r="G68" s="40"/>
      <c r="H68" s="57"/>
      <c r="I68" s="57"/>
      <c r="J68" s="57"/>
      <c r="K68" s="57"/>
      <c r="L68" s="57"/>
      <c r="M68" s="57"/>
      <c r="N68" s="57"/>
      <c r="O68" s="57"/>
      <c r="P68" s="57"/>
    </row>
    <row r="69" s="56" customFormat="1" ht="20" customHeight="1" spans="1:16">
      <c r="A69" s="20"/>
      <c r="B69" s="17"/>
      <c r="C69" s="17"/>
      <c r="D69" s="17"/>
      <c r="E69" s="18"/>
      <c r="F69" s="18"/>
      <c r="G69" s="40"/>
      <c r="H69" s="57"/>
      <c r="I69" s="57"/>
      <c r="J69" s="57"/>
      <c r="K69" s="57"/>
      <c r="L69" s="57"/>
      <c r="M69" s="57"/>
      <c r="N69" s="57"/>
      <c r="O69" s="57"/>
      <c r="P69" s="57"/>
    </row>
    <row r="70" s="56" customFormat="1" ht="20" customHeight="1" spans="1:16">
      <c r="A70" s="20"/>
      <c r="B70" s="17"/>
      <c r="C70" s="17"/>
      <c r="D70" s="17"/>
      <c r="E70" s="18"/>
      <c r="F70" s="18"/>
      <c r="G70" s="40"/>
      <c r="H70" s="57"/>
      <c r="I70" s="57"/>
      <c r="J70" s="57"/>
      <c r="K70" s="57"/>
      <c r="L70" s="57"/>
      <c r="M70" s="57"/>
      <c r="N70" s="57"/>
      <c r="O70" s="57"/>
      <c r="P70" s="57"/>
    </row>
    <row r="71" s="56" customFormat="1" ht="20" customHeight="1" spans="1:16">
      <c r="A71" s="20"/>
      <c r="B71" s="17"/>
      <c r="C71" s="17"/>
      <c r="D71" s="17"/>
      <c r="E71" s="18"/>
      <c r="F71" s="18"/>
      <c r="G71" s="40"/>
      <c r="H71" s="57"/>
      <c r="I71" s="57"/>
      <c r="J71" s="57"/>
      <c r="K71" s="57"/>
      <c r="L71" s="57"/>
      <c r="M71" s="57"/>
      <c r="N71" s="57"/>
      <c r="O71" s="57"/>
      <c r="P71" s="57"/>
    </row>
    <row r="72" s="56" customFormat="1" ht="20" customHeight="1" spans="1:16">
      <c r="A72" s="20"/>
      <c r="B72" s="17"/>
      <c r="C72" s="17"/>
      <c r="D72" s="17"/>
      <c r="E72" s="18"/>
      <c r="F72" s="18"/>
      <c r="G72" s="40"/>
      <c r="H72" s="57"/>
      <c r="I72" s="57"/>
      <c r="J72" s="57"/>
      <c r="K72" s="57"/>
      <c r="L72" s="57"/>
      <c r="M72" s="57"/>
      <c r="N72" s="57"/>
      <c r="O72" s="57"/>
      <c r="P72" s="57"/>
    </row>
    <row r="73" s="56" customFormat="1" ht="20" customHeight="1" spans="1:16">
      <c r="A73" s="20"/>
      <c r="B73" s="17"/>
      <c r="C73" s="17"/>
      <c r="D73" s="17"/>
      <c r="E73" s="18"/>
      <c r="F73" s="18"/>
      <c r="G73" s="40"/>
      <c r="H73" s="57"/>
      <c r="I73" s="57"/>
      <c r="J73" s="57"/>
      <c r="K73" s="57"/>
      <c r="L73" s="57"/>
      <c r="M73" s="57"/>
      <c r="N73" s="57"/>
      <c r="O73" s="57"/>
      <c r="P73" s="57"/>
    </row>
    <row r="74" s="56" customFormat="1" ht="20" customHeight="1" spans="1:16">
      <c r="A74" s="20"/>
      <c r="B74" s="17"/>
      <c r="C74" s="17"/>
      <c r="D74" s="17"/>
      <c r="E74" s="18"/>
      <c r="F74" s="18"/>
      <c r="G74" s="40"/>
      <c r="H74" s="57"/>
      <c r="I74" s="57"/>
      <c r="J74" s="57"/>
      <c r="K74" s="57"/>
      <c r="L74" s="57"/>
      <c r="M74" s="57"/>
      <c r="N74" s="57"/>
      <c r="O74" s="57"/>
      <c r="P74" s="57"/>
    </row>
    <row r="75" s="56" customFormat="1" ht="20" customHeight="1" spans="1:16">
      <c r="A75" s="20"/>
      <c r="B75" s="17"/>
      <c r="C75" s="17"/>
      <c r="D75" s="17"/>
      <c r="E75" s="18"/>
      <c r="F75" s="18"/>
      <c r="G75" s="40"/>
      <c r="H75" s="57"/>
      <c r="I75" s="57"/>
      <c r="J75" s="57"/>
      <c r="K75" s="57"/>
      <c r="L75" s="57"/>
      <c r="M75" s="57"/>
      <c r="N75" s="57"/>
      <c r="O75" s="57"/>
      <c r="P75" s="57"/>
    </row>
    <row r="76" ht="20" customHeight="1" spans="1:7">
      <c r="A76" s="20"/>
      <c r="B76" s="17"/>
      <c r="C76" s="17"/>
      <c r="D76" s="17"/>
      <c r="E76" s="18"/>
      <c r="F76" s="18"/>
      <c r="G76" s="40"/>
    </row>
    <row r="77" ht="20" customHeight="1" spans="1:7">
      <c r="A77" s="20"/>
      <c r="B77" s="17"/>
      <c r="C77" s="17"/>
      <c r="D77" s="17"/>
      <c r="E77" s="18"/>
      <c r="F77" s="18"/>
      <c r="G77" s="40"/>
    </row>
    <row r="78" ht="20" customHeight="1" spans="1:7">
      <c r="A78" s="20"/>
      <c r="B78" s="17"/>
      <c r="C78" s="17"/>
      <c r="D78" s="17"/>
      <c r="E78" s="18"/>
      <c r="F78" s="18"/>
      <c r="G78" s="40"/>
    </row>
    <row r="79" ht="20" customHeight="1" spans="1:7">
      <c r="A79" s="20"/>
      <c r="B79" s="17"/>
      <c r="C79" s="17"/>
      <c r="D79" s="17"/>
      <c r="E79" s="18"/>
      <c r="F79" s="18"/>
      <c r="G79" s="40"/>
    </row>
    <row r="80" ht="20" customHeight="1" spans="1:7">
      <c r="A80" s="20"/>
      <c r="B80" s="17"/>
      <c r="C80" s="17"/>
      <c r="D80" s="17"/>
      <c r="E80" s="18"/>
      <c r="F80" s="18"/>
      <c r="G80" s="40"/>
    </row>
    <row r="81" ht="20" customHeight="1" spans="1:7">
      <c r="A81" s="20"/>
      <c r="B81" s="17"/>
      <c r="C81" s="17"/>
      <c r="D81" s="17"/>
      <c r="E81" s="18"/>
      <c r="F81" s="18"/>
      <c r="G81" s="40"/>
    </row>
    <row r="82" ht="20" customHeight="1" spans="1:7">
      <c r="A82" s="20"/>
      <c r="B82" s="17"/>
      <c r="C82" s="17"/>
      <c r="D82" s="17"/>
      <c r="E82" s="18"/>
      <c r="F82" s="18"/>
      <c r="G82" s="40"/>
    </row>
    <row r="83" ht="20" customHeight="1" spans="1:7">
      <c r="A83" s="20"/>
      <c r="B83" s="17"/>
      <c r="C83" s="17"/>
      <c r="D83" s="17"/>
      <c r="E83" s="18"/>
      <c r="F83" s="18"/>
      <c r="G83" s="40"/>
    </row>
    <row r="84" ht="20" customHeight="1" spans="1:7">
      <c r="A84" s="20"/>
      <c r="B84" s="17"/>
      <c r="C84" s="17"/>
      <c r="D84" s="17"/>
      <c r="E84" s="18"/>
      <c r="F84" s="18"/>
      <c r="G84" s="40"/>
    </row>
    <row r="85" ht="20" customHeight="1" spans="1:7">
      <c r="A85" s="20"/>
      <c r="B85" s="17"/>
      <c r="C85" s="17"/>
      <c r="D85" s="17"/>
      <c r="E85" s="18"/>
      <c r="F85" s="18"/>
      <c r="G85" s="40"/>
    </row>
    <row r="86" ht="20" customHeight="1" spans="1:7">
      <c r="A86" s="20"/>
      <c r="B86" s="17"/>
      <c r="C86" s="17"/>
      <c r="D86" s="17"/>
      <c r="E86" s="18"/>
      <c r="F86" s="18"/>
      <c r="G86" s="40"/>
    </row>
    <row r="87" ht="20" customHeight="1" spans="1:7">
      <c r="A87" s="20"/>
      <c r="B87" s="17"/>
      <c r="C87" s="17"/>
      <c r="D87" s="17"/>
      <c r="E87" s="18"/>
      <c r="F87" s="18"/>
      <c r="G87" s="40"/>
    </row>
    <row r="88" ht="20" customHeight="1" spans="1:7">
      <c r="A88" s="20"/>
      <c r="B88" s="17"/>
      <c r="C88" s="17"/>
      <c r="D88" s="17"/>
      <c r="E88" s="18"/>
      <c r="F88" s="18"/>
      <c r="G88" s="40"/>
    </row>
    <row r="89" ht="20" customHeight="1" spans="1:7">
      <c r="A89" s="20"/>
      <c r="B89" s="17"/>
      <c r="C89" s="17"/>
      <c r="D89" s="17"/>
      <c r="E89" s="18"/>
      <c r="F89" s="18"/>
      <c r="G89" s="40"/>
    </row>
    <row r="90" ht="20" customHeight="1" spans="1:7">
      <c r="A90" s="74" t="s">
        <v>103</v>
      </c>
      <c r="B90" s="75"/>
      <c r="C90" s="75"/>
      <c r="D90" s="75"/>
      <c r="E90" s="75"/>
      <c r="F90" s="75"/>
      <c r="G90" s="76"/>
    </row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</sheetData>
  <mergeCells count="12">
    <mergeCell ref="A1:G1"/>
    <mergeCell ref="F2:G2"/>
    <mergeCell ref="A20:G20"/>
    <mergeCell ref="A21:G21"/>
    <mergeCell ref="F22:G22"/>
    <mergeCell ref="A37:G37"/>
    <mergeCell ref="A38:G38"/>
    <mergeCell ref="F39:G39"/>
    <mergeCell ref="A56:G56"/>
    <mergeCell ref="A57:G57"/>
    <mergeCell ref="F58:G58"/>
    <mergeCell ref="A90:G90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G15" sqref="G15"/>
    </sheetView>
  </sheetViews>
  <sheetFormatPr defaultColWidth="9" defaultRowHeight="14"/>
  <cols>
    <col min="1" max="1" width="5.62727272727273" style="1" customWidth="1"/>
    <col min="2" max="2" width="30.6272727272727" style="1" customWidth="1"/>
    <col min="3" max="3" width="5.62727272727273" style="1" customWidth="1"/>
    <col min="4" max="4" width="10.6272727272727" style="2" customWidth="1"/>
    <col min="5" max="6" width="12.6272727272727" style="2" customWidth="1"/>
    <col min="7" max="7" width="10.6272727272727" style="41" customWidth="1"/>
    <col min="8" max="8" width="12.6272727272727" style="2" customWidth="1"/>
    <col min="9" max="9" width="16.6272727272727" style="2" customWidth="1"/>
    <col min="10" max="10" width="12.6272727272727" style="1" customWidth="1"/>
    <col min="11" max="19" width="9" style="1"/>
  </cols>
  <sheetData>
    <row r="1" customFormat="1" ht="40" customHeight="1" spans="1:19">
      <c r="A1" s="42" t="s">
        <v>123</v>
      </c>
      <c r="B1" s="42"/>
      <c r="C1" s="42"/>
      <c r="D1" s="43"/>
      <c r="E1" s="43"/>
      <c r="F1" s="43"/>
      <c r="G1" s="44"/>
      <c r="H1" s="43"/>
      <c r="I1" s="43"/>
      <c r="J1" s="42"/>
      <c r="K1" s="1"/>
      <c r="L1" s="1"/>
      <c r="M1" s="1"/>
      <c r="N1" s="1"/>
      <c r="O1" s="1"/>
      <c r="P1" s="1"/>
      <c r="Q1" s="1"/>
      <c r="R1" s="1"/>
      <c r="S1" s="1"/>
    </row>
    <row r="2" customFormat="1" ht="18" customHeight="1" spans="1:19">
      <c r="A2" s="7" t="s">
        <v>2</v>
      </c>
      <c r="B2" s="8" t="s">
        <v>3</v>
      </c>
      <c r="C2" s="8" t="s">
        <v>4</v>
      </c>
      <c r="D2" s="9" t="s">
        <v>6</v>
      </c>
      <c r="E2" s="9" t="s">
        <v>124</v>
      </c>
      <c r="F2" s="9" t="s">
        <v>125</v>
      </c>
      <c r="G2" s="45" t="s">
        <v>126</v>
      </c>
      <c r="H2" s="46" t="s">
        <v>74</v>
      </c>
      <c r="I2" s="46" t="s">
        <v>127</v>
      </c>
      <c r="J2" s="53" t="s">
        <v>128</v>
      </c>
      <c r="K2" s="1"/>
      <c r="L2" s="1"/>
      <c r="M2" s="1"/>
      <c r="N2" s="1"/>
      <c r="O2" s="1"/>
      <c r="P2" s="1"/>
      <c r="Q2" s="1"/>
      <c r="R2" s="1"/>
      <c r="S2" s="1"/>
    </row>
    <row r="3" customFormat="1" ht="18" customHeight="1" spans="1:19">
      <c r="A3" s="39">
        <v>1</v>
      </c>
      <c r="B3" s="25" t="s">
        <v>129</v>
      </c>
      <c r="C3" s="22" t="s">
        <v>99</v>
      </c>
      <c r="D3" s="47">
        <v>55.156</v>
      </c>
      <c r="E3" s="23">
        <v>3126.9</v>
      </c>
      <c r="F3" s="23">
        <f t="shared" ref="F3:F9" si="0">ROUND(D3*E3,2)</f>
        <v>172467.3</v>
      </c>
      <c r="G3" s="48">
        <v>0.13</v>
      </c>
      <c r="H3" s="49">
        <f t="shared" ref="H3:H9" si="1">ROUND(F3*G3,2)</f>
        <v>22420.75</v>
      </c>
      <c r="I3" s="49">
        <f t="shared" ref="I3:I9" si="2">F3+H3</f>
        <v>194888.05</v>
      </c>
      <c r="J3" s="54"/>
      <c r="K3" s="1"/>
      <c r="L3" s="1"/>
      <c r="M3" s="1"/>
      <c r="N3" s="1"/>
      <c r="O3" s="1"/>
      <c r="P3" s="1"/>
      <c r="Q3" s="1"/>
      <c r="R3" s="1"/>
      <c r="S3" s="1"/>
    </row>
    <row r="4" customFormat="1" ht="18" customHeight="1" spans="1:19">
      <c r="A4" s="39">
        <v>2</v>
      </c>
      <c r="B4" s="25" t="s">
        <v>130</v>
      </c>
      <c r="C4" s="22" t="s">
        <v>99</v>
      </c>
      <c r="D4" s="47">
        <v>75.364</v>
      </c>
      <c r="E4" s="23">
        <v>3126.9</v>
      </c>
      <c r="F4" s="23">
        <f t="shared" si="0"/>
        <v>235655.69</v>
      </c>
      <c r="G4" s="48">
        <v>0.13</v>
      </c>
      <c r="H4" s="49">
        <f t="shared" si="1"/>
        <v>30635.24</v>
      </c>
      <c r="I4" s="49">
        <f t="shared" si="2"/>
        <v>266290.93</v>
      </c>
      <c r="J4" s="54"/>
      <c r="K4" s="1"/>
      <c r="L4" s="1"/>
      <c r="M4" s="1"/>
      <c r="N4" s="1"/>
      <c r="O4" s="1"/>
      <c r="P4" s="1"/>
      <c r="Q4" s="1"/>
      <c r="R4" s="1"/>
      <c r="S4" s="1"/>
    </row>
    <row r="5" customFormat="1" ht="18" customHeight="1" spans="1:19">
      <c r="A5" s="39">
        <v>3</v>
      </c>
      <c r="B5" s="25" t="s">
        <v>131</v>
      </c>
      <c r="C5" s="22" t="s">
        <v>99</v>
      </c>
      <c r="D5" s="23">
        <v>9703.05</v>
      </c>
      <c r="E5" s="23">
        <v>384.92</v>
      </c>
      <c r="F5" s="23">
        <f t="shared" si="0"/>
        <v>3734898.01</v>
      </c>
      <c r="G5" s="48">
        <v>0.13</v>
      </c>
      <c r="H5" s="49">
        <f t="shared" si="1"/>
        <v>485536.74</v>
      </c>
      <c r="I5" s="49">
        <f t="shared" si="2"/>
        <v>4220434.75</v>
      </c>
      <c r="J5" s="54"/>
      <c r="K5" s="1"/>
      <c r="L5" s="1"/>
      <c r="M5" s="1"/>
      <c r="N5" s="1"/>
      <c r="O5" s="1"/>
      <c r="P5" s="1"/>
      <c r="Q5" s="1"/>
      <c r="R5" s="1"/>
      <c r="S5" s="1"/>
    </row>
    <row r="6" customFormat="1" ht="18" customHeight="1" spans="1:19">
      <c r="A6" s="39">
        <v>4</v>
      </c>
      <c r="B6" s="25" t="s">
        <v>132</v>
      </c>
      <c r="C6" s="22" t="s">
        <v>20</v>
      </c>
      <c r="D6" s="23">
        <v>23324.28</v>
      </c>
      <c r="E6" s="23">
        <v>106.64</v>
      </c>
      <c r="F6" s="23">
        <f t="shared" si="0"/>
        <v>2487301.22</v>
      </c>
      <c r="G6" s="48">
        <v>0.03</v>
      </c>
      <c r="H6" s="49">
        <f t="shared" si="1"/>
        <v>74619.04</v>
      </c>
      <c r="I6" s="49">
        <f t="shared" si="2"/>
        <v>2561920.26</v>
      </c>
      <c r="J6" s="54"/>
      <c r="K6" s="1"/>
      <c r="L6" s="1"/>
      <c r="M6" s="1"/>
      <c r="N6" s="1"/>
      <c r="O6" s="1"/>
      <c r="P6" s="1"/>
      <c r="Q6" s="1"/>
      <c r="R6" s="1"/>
      <c r="S6" s="1"/>
    </row>
    <row r="7" customFormat="1" ht="18" customHeight="1" spans="1:19">
      <c r="A7" s="39">
        <v>5</v>
      </c>
      <c r="B7" s="25" t="s">
        <v>133</v>
      </c>
      <c r="C7" s="22" t="s">
        <v>20</v>
      </c>
      <c r="D7" s="23">
        <f>489.75+1047.2</f>
        <v>1536.95</v>
      </c>
      <c r="E7" s="23">
        <v>112</v>
      </c>
      <c r="F7" s="23">
        <f t="shared" si="0"/>
        <v>172138.4</v>
      </c>
      <c r="G7" s="48">
        <v>0.03</v>
      </c>
      <c r="H7" s="49">
        <f t="shared" si="1"/>
        <v>5164.15</v>
      </c>
      <c r="I7" s="49">
        <f t="shared" si="2"/>
        <v>177302.55</v>
      </c>
      <c r="J7" s="54"/>
      <c r="K7" s="1"/>
      <c r="L7" s="1"/>
      <c r="M7" s="1"/>
      <c r="N7" s="1"/>
      <c r="O7" s="1"/>
      <c r="P7" s="1"/>
      <c r="Q7" s="1"/>
      <c r="R7" s="1"/>
      <c r="S7" s="1"/>
    </row>
    <row r="8" customFormat="1" ht="18" customHeight="1" spans="1:19">
      <c r="A8" s="39">
        <v>6</v>
      </c>
      <c r="B8" s="25" t="s">
        <v>134</v>
      </c>
      <c r="C8" s="22" t="s">
        <v>20</v>
      </c>
      <c r="D8" s="23">
        <v>29778.82</v>
      </c>
      <c r="E8" s="23">
        <v>101.16</v>
      </c>
      <c r="F8" s="23">
        <f t="shared" si="0"/>
        <v>3012425.43</v>
      </c>
      <c r="G8" s="48">
        <v>0.03</v>
      </c>
      <c r="H8" s="49">
        <f t="shared" si="1"/>
        <v>90372.76</v>
      </c>
      <c r="I8" s="49">
        <f t="shared" si="2"/>
        <v>3102798.19</v>
      </c>
      <c r="J8" s="54"/>
      <c r="K8" s="1"/>
      <c r="L8" s="1"/>
      <c r="M8" s="1"/>
      <c r="N8" s="1"/>
      <c r="O8" s="1"/>
      <c r="P8" s="1"/>
      <c r="Q8" s="1"/>
      <c r="R8" s="1"/>
      <c r="S8" s="1"/>
    </row>
    <row r="9" customFormat="1" ht="18" customHeight="1" spans="1:19">
      <c r="A9" s="32"/>
      <c r="B9" s="33" t="s">
        <v>75</v>
      </c>
      <c r="C9" s="34"/>
      <c r="D9" s="35"/>
      <c r="E9" s="35"/>
      <c r="F9" s="50"/>
      <c r="G9" s="51"/>
      <c r="H9" s="52"/>
      <c r="I9" s="52">
        <f>SUM(I3:I8)</f>
        <v>10523634.73</v>
      </c>
      <c r="J9" s="55"/>
      <c r="K9" s="1"/>
      <c r="L9" s="1"/>
      <c r="M9" s="1"/>
      <c r="N9" s="1"/>
      <c r="O9" s="1"/>
      <c r="P9" s="1"/>
      <c r="Q9" s="1"/>
      <c r="R9" s="1"/>
      <c r="S9" s="1"/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</sheetData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包1路基一标段（K0+000-K2+000）</vt:lpstr>
      <vt:lpstr>包1路基二标段（K2+000-K4+000）</vt:lpstr>
      <vt:lpstr>包1路基三标段（K4+000-K6+000）</vt:lpstr>
      <vt:lpstr>包1路基四标段（K6+000-K8+000）</vt:lpstr>
      <vt:lpstr>包1路基五标段（K8+000-K9+000）</vt:lpstr>
      <vt:lpstr>包1路基六标段（K9+000-K10+000）</vt:lpstr>
      <vt:lpstr>包1路基七标段（K10+000-K12+000）</vt:lpstr>
      <vt:lpstr>包1路基八标段（K12+000-K14+300）</vt:lpstr>
      <vt:lpstr>包2</vt:lpstr>
      <vt:lpstr>包3</vt:lpstr>
      <vt:lpstr>包4</vt:lpstr>
      <vt:lpstr>包7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WPS_1615536678</cp:lastModifiedBy>
  <dcterms:created xsi:type="dcterms:W3CDTF">2025-04-08T15:37:00Z</dcterms:created>
  <dcterms:modified xsi:type="dcterms:W3CDTF">2025-05-13T17:04:00Z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DD32EE7114FF4BDF88D3D6C98F44D739_13</vt:lpwstr>
  </property>
  <property fmtid="{D5CDD505-2E9C-101B-9397-08002B2CF9AE}" pid="3" name="KSOProductBuildVer">
    <vt:lpwstr>2052-12.1.0.20784</vt:lpwstr>
  </property>
</Properties>
</file>